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EMMM107\Desktop\"/>
    </mc:Choice>
  </mc:AlternateContent>
  <bookViews>
    <workbookView xWindow="0" yWindow="0" windowWidth="19200" windowHeight="7050" activeTab="5"/>
  </bookViews>
  <sheets>
    <sheet name="3R units" sheetId="3" r:id="rId1"/>
    <sheet name="3Q units" sheetId="4" r:id="rId2"/>
    <sheet name="2N list" sheetId="5" r:id="rId3"/>
    <sheet name="1S E&amp;Ts" sheetId="6" r:id="rId4"/>
    <sheet name="Out of State Hospitals" sheetId="7" r:id="rId5"/>
    <sheet name="SWMS UNITS" sheetId="8" r:id="rId6"/>
  </sheets>
  <calcPr calcId="162913"/>
</workbook>
</file>

<file path=xl/calcChain.xml><?xml version="1.0" encoding="utf-8"?>
<calcChain xmlns="http://schemas.openxmlformats.org/spreadsheetml/2006/main">
  <c r="K20" i="3" l="1"/>
  <c r="J20" i="3"/>
  <c r="I20" i="3"/>
  <c r="H20" i="3"/>
  <c r="G20" i="3"/>
  <c r="F20" i="3"/>
  <c r="E20" i="3"/>
  <c r="D20" i="3"/>
  <c r="C20" i="3"/>
  <c r="B20" i="3"/>
  <c r="A20" i="3"/>
  <c r="K19" i="3"/>
  <c r="J19" i="3"/>
  <c r="I19" i="3"/>
  <c r="H19" i="3"/>
  <c r="G19" i="3"/>
  <c r="F19" i="3"/>
  <c r="E19" i="3"/>
  <c r="D19" i="3"/>
  <c r="C19" i="3"/>
  <c r="B19" i="3"/>
  <c r="A19" i="3"/>
  <c r="K18" i="3"/>
  <c r="J18" i="3"/>
  <c r="I18" i="3"/>
  <c r="H18" i="3"/>
  <c r="G18" i="3"/>
  <c r="F18" i="3"/>
  <c r="E18" i="3"/>
  <c r="D18" i="3"/>
  <c r="C18" i="3"/>
  <c r="B18" i="3"/>
  <c r="A18" i="3"/>
  <c r="K17" i="3"/>
  <c r="J17" i="3"/>
  <c r="I17" i="3"/>
  <c r="H17" i="3"/>
  <c r="G17" i="3"/>
  <c r="F17" i="3"/>
  <c r="E17" i="3"/>
  <c r="D17" i="3"/>
  <c r="C17" i="3"/>
  <c r="B17" i="3"/>
  <c r="A17" i="3"/>
  <c r="K16" i="3"/>
  <c r="J16" i="3"/>
  <c r="I16" i="3"/>
  <c r="H16" i="3"/>
  <c r="G16" i="3"/>
  <c r="F16" i="3"/>
  <c r="E16" i="3"/>
  <c r="D16" i="3"/>
  <c r="C16" i="3"/>
  <c r="B16" i="3"/>
  <c r="A16" i="3"/>
  <c r="K15" i="3"/>
  <c r="J15" i="3"/>
  <c r="I15" i="3"/>
  <c r="H15" i="3"/>
  <c r="G15" i="3"/>
  <c r="F15" i="3"/>
  <c r="E15" i="3"/>
  <c r="D15" i="3"/>
  <c r="C15" i="3"/>
  <c r="B15" i="3"/>
  <c r="A15" i="3"/>
  <c r="K14" i="3"/>
  <c r="J14" i="3"/>
  <c r="I14" i="3"/>
  <c r="H14" i="3"/>
  <c r="G14" i="3"/>
  <c r="F14" i="3"/>
  <c r="E14" i="3"/>
  <c r="D14" i="3"/>
  <c r="C14" i="3"/>
  <c r="B14" i="3"/>
  <c r="A14" i="3"/>
  <c r="K13" i="3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<sst xmlns="http://schemas.openxmlformats.org/spreadsheetml/2006/main" count="737" uniqueCount="483">
  <si>
    <t>ORG_BSNS_NAME</t>
  </si>
  <si>
    <t>NATIONAL_PRVDR_IDNTFR</t>
  </si>
  <si>
    <t>MOSES LAKE</t>
  </si>
  <si>
    <t>GRANT</t>
  </si>
  <si>
    <t>ISLAND</t>
  </si>
  <si>
    <t>CASCADE MEDICAL CENTER</t>
  </si>
  <si>
    <t>LEAVENWORTH</t>
  </si>
  <si>
    <t>CHELAN</t>
  </si>
  <si>
    <t>SNOHOMISH</t>
  </si>
  <si>
    <t>CENTRAL WASHINGTON HOSPITAL</t>
  </si>
  <si>
    <t>DE OPPS</t>
  </si>
  <si>
    <t>1201 SOUTH MILLER</t>
  </si>
  <si>
    <t>WENATCHEE</t>
  </si>
  <si>
    <t>CHELAN COUNTY PUBLIC HOSP DIST2</t>
  </si>
  <si>
    <t>LAKE CHELAN COMMUNITY HOSP</t>
  </si>
  <si>
    <t>503 E HIGHLAND</t>
  </si>
  <si>
    <t>SEATTLE</t>
  </si>
  <si>
    <t>KING</t>
  </si>
  <si>
    <t>FORKS COMMUNITY HOSPITAL</t>
  </si>
  <si>
    <t>530 BOGACHIEL WAY</t>
  </si>
  <si>
    <t>FORKS</t>
  </si>
  <si>
    <t>CLALLAM</t>
  </si>
  <si>
    <t>COLUMBIA CAPITAL MEDICAL CENTER</t>
  </si>
  <si>
    <t>OPPS</t>
  </si>
  <si>
    <t>3900 CAPITAL MALL DR SW</t>
  </si>
  <si>
    <t>OLYMPIA</t>
  </si>
  <si>
    <t>THURSTON</t>
  </si>
  <si>
    <t>COLUMBIA COUNTY PUBLIC HOSPITAL</t>
  </si>
  <si>
    <t>DAYTON GENERAL HOSPITAL</t>
  </si>
  <si>
    <t>1012 S 3RD ST</t>
  </si>
  <si>
    <t>DAYTON</t>
  </si>
  <si>
    <t>COLUMBIA</t>
  </si>
  <si>
    <t>LONGVIEW</t>
  </si>
  <si>
    <t>COWLITZ</t>
  </si>
  <si>
    <t>COULEE COMMUNITY HOSPITAL</t>
  </si>
  <si>
    <t>COUNTY HOSPITAL 6</t>
  </si>
  <si>
    <t>411 FORTUYN RD</t>
  </si>
  <si>
    <t>GRAND COULEE</t>
  </si>
  <si>
    <t>TACOMA</t>
  </si>
  <si>
    <t>PIERCE</t>
  </si>
  <si>
    <t>YAKIMA</t>
  </si>
  <si>
    <t>Clallam County Public Hospital District # 2</t>
  </si>
  <si>
    <t>OLYMPIC MEDICAL CENTER</t>
  </si>
  <si>
    <t>939 CAROLINE STREET</t>
  </si>
  <si>
    <t>PORT ANGELES</t>
  </si>
  <si>
    <t>DEACONESS HOSPITAL</t>
  </si>
  <si>
    <t>OPPS-DEACONESS MEDICAL CTR</t>
  </si>
  <si>
    <t>800 W 5TH AVE</t>
  </si>
  <si>
    <t>SPOKANE</t>
  </si>
  <si>
    <t>COLVILLE</t>
  </si>
  <si>
    <t>STEVENS</t>
  </si>
  <si>
    <t>EAST ADAMS RURAL HOSPITAL</t>
  </si>
  <si>
    <t>CAH</t>
  </si>
  <si>
    <t>903 S ADAMS</t>
  </si>
  <si>
    <t>RITZVILLE</t>
  </si>
  <si>
    <t>ADAMS</t>
  </si>
  <si>
    <t>36 KLONDIKE RD</t>
  </si>
  <si>
    <t>REPUBLIC</t>
  </si>
  <si>
    <t>FERRY</t>
  </si>
  <si>
    <t>Ferry County PHD 1</t>
  </si>
  <si>
    <t>DE *CAH</t>
  </si>
  <si>
    <t>GARFIELD CO MEM HOSPITAL</t>
  </si>
  <si>
    <t>POMEROY</t>
  </si>
  <si>
    <t>GARFIELD</t>
  </si>
  <si>
    <t>GRANT COUNTY PUBLIC HOSPITAL DI</t>
  </si>
  <si>
    <t>QUINCY VALLEY HOSPITAL</t>
  </si>
  <si>
    <t>908 - 10TH AVENUE SW</t>
  </si>
  <si>
    <t>QUINCY</t>
  </si>
  <si>
    <t>GROUP HEALTH COOPERATIVE Central Hospital</t>
  </si>
  <si>
    <t>Good Samaritan Hospital</t>
  </si>
  <si>
    <t>401 15TH AVE SE</t>
  </si>
  <si>
    <t>PUYALLUP</t>
  </si>
  <si>
    <t>Grant County Public Hospital District No 3</t>
  </si>
  <si>
    <t>200 NAT WASHINGTON WAY</t>
  </si>
  <si>
    <t>EPHRATA</t>
  </si>
  <si>
    <t>Grays Harbor Community Hospital</t>
  </si>
  <si>
    <t>915 ANDERSON DR</t>
  </si>
  <si>
    <t>ABERDEEN</t>
  </si>
  <si>
    <t>GRAYS HARBOR</t>
  </si>
  <si>
    <t>HARRISON MEDICAL CENTER</t>
  </si>
  <si>
    <t>2520 CHERRY AVE</t>
  </si>
  <si>
    <t>BREMERTON</t>
  </si>
  <si>
    <t>KITSAP</t>
  </si>
  <si>
    <t>HIGHLINE MEDICAL CENTER</t>
  </si>
  <si>
    <t>BURIEN</t>
  </si>
  <si>
    <t>COUPEVILLE</t>
  </si>
  <si>
    <t>JEFFERSON HEALTHCARE</t>
  </si>
  <si>
    <t>PORT TOWNSEND</t>
  </si>
  <si>
    <t>JEFFERSON</t>
  </si>
  <si>
    <t>KENNEWICK GENERAL HOSPITAL</t>
  </si>
  <si>
    <t>900 SOUTH AUBURN</t>
  </si>
  <si>
    <t>KENNEWICK</t>
  </si>
  <si>
    <t>BENTON</t>
  </si>
  <si>
    <t>KING COUNTY HOSPITAL DIST 4</t>
  </si>
  <si>
    <t>SNOQUALMIE VALLEY HOSPITAL</t>
  </si>
  <si>
    <t>SNOQUALMIE</t>
  </si>
  <si>
    <t>9801 FRONTIER AVE SE</t>
  </si>
  <si>
    <t>KITTITAS VALLEY HEALTHCARE - HOSPITAL</t>
  </si>
  <si>
    <t>603 S CHESTNUT</t>
  </si>
  <si>
    <t>ELLENSBURG</t>
  </si>
  <si>
    <t>KITTITAS</t>
  </si>
  <si>
    <t>KLICKITAT CO PUBLIC HOSP DIST 2</t>
  </si>
  <si>
    <t>SKYLINE HOSPITAL</t>
  </si>
  <si>
    <t>211 SKYLINE DR</t>
  </si>
  <si>
    <t>WHITE SALMON</t>
  </si>
  <si>
    <t>KLICKITAT</t>
  </si>
  <si>
    <t>KLICKITAT COUNTY PUBLIC HOSPITA</t>
  </si>
  <si>
    <t>KLICKITAT VALLEY HOSP *CAH</t>
  </si>
  <si>
    <t>310 SOUTH ROOSEVELT</t>
  </si>
  <si>
    <t>GOLDENDALE</t>
  </si>
  <si>
    <t>Kadlec Regional Medical Center</t>
  </si>
  <si>
    <t>888 SWIFT BLVD</t>
  </si>
  <si>
    <t>RICHLAND</t>
  </si>
  <si>
    <t>LEGACY SALMON CREEK HOSPITAL</t>
  </si>
  <si>
    <t>2211 NE 139TH ST</t>
  </si>
  <si>
    <t>VANCOUVER</t>
  </si>
  <si>
    <t>CLARK</t>
  </si>
  <si>
    <t>LEWIS COUNTY HOSP DISTRICT 1</t>
  </si>
  <si>
    <t>MORTON GENERAL HOSPITAL</t>
  </si>
  <si>
    <t>521 ADAMS</t>
  </si>
  <si>
    <t>MORTON</t>
  </si>
  <si>
    <t>LEWIS</t>
  </si>
  <si>
    <t>LINCOLN COUNTY HOSPITAL DIST 3</t>
  </si>
  <si>
    <t>DAVENPORT</t>
  </si>
  <si>
    <t>LINCOLN</t>
  </si>
  <si>
    <t>Lincoln County PHD #1</t>
  </si>
  <si>
    <t>MEMORIAL HOSPITAL ODESSA</t>
  </si>
  <si>
    <t>502 E AMENDE DR</t>
  </si>
  <si>
    <t>ODESSA</t>
  </si>
  <si>
    <t>MID VALLEY MEDICAL GROUP</t>
  </si>
  <si>
    <t>MID VALLEY HOSPITAL DIST 3</t>
  </si>
  <si>
    <t>810 VALLEY WAY</t>
  </si>
  <si>
    <t>OMAK</t>
  </si>
  <si>
    <t>OKANOGAN</t>
  </si>
  <si>
    <t>MULTICARE HEALTH SYSTEM</t>
  </si>
  <si>
    <t>MARY BRIDGE CHILDRENS HOSP</t>
  </si>
  <si>
    <t>317 M L KING JR WAY</t>
  </si>
  <si>
    <t>TACOMA GENERAL HOSP OPPS</t>
  </si>
  <si>
    <t>315 M L KING JR WAY</t>
  </si>
  <si>
    <t>MARY BRIDGE NEURODEVELOPME</t>
  </si>
  <si>
    <t>311 SOUTH L STREET</t>
  </si>
  <si>
    <t>Multicare Auburn Medical Center</t>
  </si>
  <si>
    <t>202 N DIVISION ST</t>
  </si>
  <si>
    <t>AUBURN</t>
  </si>
  <si>
    <t>NEWPORT COMMUNITY HOSPITAL</t>
  </si>
  <si>
    <t>714 W PINE STREET</t>
  </si>
  <si>
    <t>NEWPORT</t>
  </si>
  <si>
    <t>PEND OREILLE</t>
  </si>
  <si>
    <t>NORTHWEST HOSPITAL</t>
  </si>
  <si>
    <t>1550 N 115TH STREET</t>
  </si>
  <si>
    <t>OCEAN BEACH HOSPITAL</t>
  </si>
  <si>
    <t>176 FIRST AVE NE</t>
  </si>
  <si>
    <t>ILWACO</t>
  </si>
  <si>
    <t>PACIFIC</t>
  </si>
  <si>
    <t>OKANOGAN CTY PUBLIC HOSP 4</t>
  </si>
  <si>
    <t>NORTH VALLEY HOSPITAL *CAH</t>
  </si>
  <si>
    <t>203 S WESTERN AVE</t>
  </si>
  <si>
    <t>TONASKET</t>
  </si>
  <si>
    <t>507 HOSPITAL WAY</t>
  </si>
  <si>
    <t>BREWSTER</t>
  </si>
  <si>
    <t>OTHELLO COMMUNITY HOSPITAL</t>
  </si>
  <si>
    <t>315 N 14TH</t>
  </si>
  <si>
    <t>OTHELLO</t>
  </si>
  <si>
    <t>OUR LADY OF LOURDES -CAH</t>
  </si>
  <si>
    <t>520 NORTH 4TH AVE</t>
  </si>
  <si>
    <t>PASCO</t>
  </si>
  <si>
    <t>FRANKLIN</t>
  </si>
  <si>
    <t>OVERLAKE HOSPITAL MEDICAL CENTER</t>
  </si>
  <si>
    <t>1035 - 116TH AVENUE NE</t>
  </si>
  <si>
    <t>BELLEVUE</t>
  </si>
  <si>
    <t>OVERLAKE MEDICAL CENTER</t>
  </si>
  <si>
    <t>1035 116TH AVE NE</t>
  </si>
  <si>
    <t>FRIDAY HARBOR</t>
  </si>
  <si>
    <t>SAN JUAN</t>
  </si>
  <si>
    <t>PROSSER</t>
  </si>
  <si>
    <t>PROVIDENCE CENTRALIA HOSPITAL</t>
  </si>
  <si>
    <t>1820 COOKS HILL RD</t>
  </si>
  <si>
    <t>CENTRALIA</t>
  </si>
  <si>
    <t>EVERETT</t>
  </si>
  <si>
    <t>PROVIDENCE HOLY FAMILY HOSPITAL</t>
  </si>
  <si>
    <t>PROVIDENCE MOUNT CARMEL HOSPITAL</t>
  </si>
  <si>
    <t>PROVIDENCE REGIONAL MEDICAL CENTER EVERETT</t>
  </si>
  <si>
    <t>PROVIDENCE ST JOSEPH HOSPITAL</t>
  </si>
  <si>
    <t>500 E WEBSTER AVE</t>
  </si>
  <si>
    <t>CHEWELAH</t>
  </si>
  <si>
    <t>PROVIDENCE ST MARY MEDICAL CENTER</t>
  </si>
  <si>
    <t>WALLA WALLA</t>
  </si>
  <si>
    <t>VALLEY GENERAL HOSPITAL</t>
  </si>
  <si>
    <t>14701 179TH AVE SE</t>
  </si>
  <si>
    <t>MONROE</t>
  </si>
  <si>
    <t>PUBLIC HOSPITAL DISTRICT 1 OF MASON COUNTY</t>
  </si>
  <si>
    <t>MASON GENERAL HOSPITAL</t>
  </si>
  <si>
    <t>2100 SHERWOOD LN</t>
  </si>
  <si>
    <t>SHELTON</t>
  </si>
  <si>
    <t>MASON</t>
  </si>
  <si>
    <t>PUBLIC HOSPITAL DISTRICT 1 SKAG</t>
  </si>
  <si>
    <t>SKAGIT VALLEY HOSP - OPPS</t>
  </si>
  <si>
    <t>1415 KINCAID ST</t>
  </si>
  <si>
    <t>MOUNT VERNON</t>
  </si>
  <si>
    <t>SKAGIT</t>
  </si>
  <si>
    <t>PUBLIC HOSPITAL DISTRICT 2 OF K</t>
  </si>
  <si>
    <t>EVERGREEN HOSP MED OPPS</t>
  </si>
  <si>
    <t>12040 NE 128TH</t>
  </si>
  <si>
    <t>KIRKLAND</t>
  </si>
  <si>
    <t>PUBLIC HOSPITAL DISTRICT NO 1</t>
  </si>
  <si>
    <t>RENTON</t>
  </si>
  <si>
    <t>400 S 43RD ST</t>
  </si>
  <si>
    <t>VALLEY MEDICAL CENTER-OPPS</t>
  </si>
  <si>
    <t>PULLMAN REGIONAL HOSPITAL</t>
  </si>
  <si>
    <t>835 SE BISHOP BLVD</t>
  </si>
  <si>
    <t>PULLMAN</t>
  </si>
  <si>
    <t>WHITMAN</t>
  </si>
  <si>
    <t>Peace Island Medical Center</t>
  </si>
  <si>
    <t>1117 SPRING ST.</t>
  </si>
  <si>
    <t>PeaceHealth United General Medical Center</t>
  </si>
  <si>
    <t>2000 HOSPITAL DR</t>
  </si>
  <si>
    <t>SEDRO WOOLLEY</t>
  </si>
  <si>
    <t>Prosser Public Hospital District, Benton County</t>
  </si>
  <si>
    <t>723 MEMORIAL STREET</t>
  </si>
  <si>
    <t>SAINT CLARE HOSPITAL</t>
  </si>
  <si>
    <t>LAKEWOOD</t>
  </si>
  <si>
    <t>SAMARITAN HOSP - MOSES LAKE</t>
  </si>
  <si>
    <t>801 E WHEELER RD</t>
  </si>
  <si>
    <t>SEATTLE CANCER CARE ALLIANCE</t>
  </si>
  <si>
    <t>825 EASTLAKE AVE EAST</t>
  </si>
  <si>
    <t>SEATTLE CHILDRENS</t>
  </si>
  <si>
    <t>MS RC504</t>
  </si>
  <si>
    <t>SHRINERS HOSPITALS FOR CHILDREN</t>
  </si>
  <si>
    <t>911 WEST 5TH AVENUE</t>
  </si>
  <si>
    <t>ST ANTHONY HOSPITAL</t>
  </si>
  <si>
    <t>11567 CANTERWOOD BLVD</t>
  </si>
  <si>
    <t>GIG HARBOR</t>
  </si>
  <si>
    <t>ST ELIZABETH HOSPITAL</t>
  </si>
  <si>
    <t>1455 BATTERSBY AVE</t>
  </si>
  <si>
    <t>ENUMCLAW</t>
  </si>
  <si>
    <t>ST JOHN MEDICAL CENTER</t>
  </si>
  <si>
    <t>1615 DELAWARE ST</t>
  </si>
  <si>
    <t>BELLINGHAM</t>
  </si>
  <si>
    <t>WHATCOM</t>
  </si>
  <si>
    <t>1717 SOUTH I STREET</t>
  </si>
  <si>
    <t>ST PETER HOSPITAL</t>
  </si>
  <si>
    <t>413 LILLY RD NE</t>
  </si>
  <si>
    <t>ATTN BUSINESS OFFICE</t>
  </si>
  <si>
    <t>600 E MAIN ST</t>
  </si>
  <si>
    <t>ELMA</t>
  </si>
  <si>
    <t>MARK REED HOSPITAL</t>
  </si>
  <si>
    <t>322 SOUTH BIRCH STREET</t>
  </si>
  <si>
    <t>MCCLEARY</t>
  </si>
  <si>
    <t>SUNNYSIDE COMMUNITY HOSPITAL</t>
  </si>
  <si>
    <t>10TH &amp; TACOMA</t>
  </si>
  <si>
    <t>SUNNYSIDE</t>
  </si>
  <si>
    <t>SWEDISH HEALTH SERVICES</t>
  </si>
  <si>
    <t>500 17TH AVE</t>
  </si>
  <si>
    <t>SWEDISH ISSAQUAH</t>
  </si>
  <si>
    <t>751 NE BLAKELY DRIVE</t>
  </si>
  <si>
    <t>ISSAQUAH</t>
  </si>
  <si>
    <t>Skagit County Public Hospital District # 2</t>
  </si>
  <si>
    <t>ISLAND HOSPITAL OPPS</t>
  </si>
  <si>
    <t>1211 24TH ST</t>
  </si>
  <si>
    <t>ANACORTES</t>
  </si>
  <si>
    <t>2901 SQUALICUM PKWY</t>
  </si>
  <si>
    <t>Swedish Medical Center</t>
  </si>
  <si>
    <t>747 BROADWAY</t>
  </si>
  <si>
    <t>TRI-STATE MEMORIAL HOSP INC</t>
  </si>
  <si>
    <t>1221 HIGHLAND AVENUE</t>
  </si>
  <si>
    <t>CLARKSTON</t>
  </si>
  <si>
    <t>ASOTIN</t>
  </si>
  <si>
    <t>Three Rivers Hospital</t>
  </si>
  <si>
    <t>UNITED STATES CATHOLIC CONFERENCE</t>
  </si>
  <si>
    <t>FEDERAL WAY</t>
  </si>
  <si>
    <t>ST FRANCIS COMM HOSP</t>
  </si>
  <si>
    <t>34515 9TH AVENUE SOUTH</t>
  </si>
  <si>
    <t>VALLEY HOSPITAL</t>
  </si>
  <si>
    <t>SPOKANE VALLEY</t>
  </si>
  <si>
    <t>VIRGINIA MASON HOSPITAL</t>
  </si>
  <si>
    <t>925 SENECA ST</t>
  </si>
  <si>
    <t>WALLA WALLA GENERAL HOSPITAL</t>
  </si>
  <si>
    <t>1025 SOUTH SECOND AVE</t>
  </si>
  <si>
    <t>WHITMAN COMMUNITY HOSPITAL</t>
  </si>
  <si>
    <t>1200 FAIRVIEW</t>
  </si>
  <si>
    <t>COLFAX</t>
  </si>
  <si>
    <t>WILLAPA HARBOR HOSPITAL</t>
  </si>
  <si>
    <t>800 ALDER STREET</t>
  </si>
  <si>
    <t>SOUTH BEND</t>
  </si>
  <si>
    <t>Wenatchee Valley Hospital</t>
  </si>
  <si>
    <t>820 N CHELAN AVE</t>
  </si>
  <si>
    <t>Whidbey Island Public Hospital District</t>
  </si>
  <si>
    <t>101 N MAIN STREET</t>
  </si>
  <si>
    <t>YAKIMA REGIONAL MED AND HEART CTR</t>
  </si>
  <si>
    <t>ProviderOne Id</t>
  </si>
  <si>
    <t>Provider Name</t>
  </si>
  <si>
    <t>NPI</t>
  </si>
  <si>
    <t>Start Date</t>
  </si>
  <si>
    <t>End Date</t>
  </si>
  <si>
    <t>Enrollment Type</t>
  </si>
  <si>
    <t>Business Status</t>
  </si>
  <si>
    <t>Provider Specialty</t>
  </si>
  <si>
    <t>Location State/Province</t>
  </si>
  <si>
    <t>Location County</t>
  </si>
  <si>
    <t>RNM</t>
  </si>
  <si>
    <t>Fac/Agncy/Orgn/Inst</t>
  </si>
  <si>
    <t>Active/Open</t>
  </si>
  <si>
    <t>Washington</t>
  </si>
  <si>
    <t>WASHINGTON</t>
  </si>
  <si>
    <t>Cascade Behavioral Hospital LLC</t>
  </si>
  <si>
    <t>3Q-Psychiatric Hospital</t>
  </si>
  <si>
    <t>BHC FAIRFAX HOSPITAL INC</t>
  </si>
  <si>
    <t>Lourdes Counseling Center</t>
  </si>
  <si>
    <t>Navos H beds</t>
  </si>
  <si>
    <t>Navos E beds</t>
  </si>
  <si>
    <t>PRVDR_LCTN_H_SID</t>
  </si>
  <si>
    <t>ADRS_LINE_1</t>
  </si>
  <si>
    <t>ADRS_LINE_2</t>
  </si>
  <si>
    <t>CITY_NAME</t>
  </si>
  <si>
    <t>COUNTY_NAME</t>
  </si>
  <si>
    <t>STATE</t>
  </si>
  <si>
    <t>POSTAL_CODE</t>
  </si>
  <si>
    <t>817 Commercial St.</t>
  </si>
  <si>
    <t>98826</t>
  </si>
  <si>
    <t>98801</t>
  </si>
  <si>
    <t>98816</t>
  </si>
  <si>
    <t>CLALLAM COUNTY  HOSPITAL</t>
  </si>
  <si>
    <t>98331</t>
  </si>
  <si>
    <t>98362</t>
  </si>
  <si>
    <t>98502</t>
  </si>
  <si>
    <t>99328</t>
  </si>
  <si>
    <t>99133</t>
  </si>
  <si>
    <t>99204</t>
  </si>
  <si>
    <t>99169</t>
  </si>
  <si>
    <t>99166</t>
  </si>
  <si>
    <t>66 N 6th St</t>
  </si>
  <si>
    <t>99347</t>
  </si>
  <si>
    <t>98372</t>
  </si>
  <si>
    <t>98848</t>
  </si>
  <si>
    <t>98823</t>
  </si>
  <si>
    <t>98520</t>
  </si>
  <si>
    <t>201 16th Ave E</t>
  </si>
  <si>
    <t>98112</t>
  </si>
  <si>
    <t>98310</t>
  </si>
  <si>
    <t>16251 Sylvester Rd SW</t>
  </si>
  <si>
    <t>98166</t>
  </si>
  <si>
    <t>834 Sheridan St</t>
  </si>
  <si>
    <t>98368</t>
  </si>
  <si>
    <t>99352</t>
  </si>
  <si>
    <t>99336</t>
  </si>
  <si>
    <t>98065</t>
  </si>
  <si>
    <t>98926</t>
  </si>
  <si>
    <t>98672</t>
  </si>
  <si>
    <t>98620</t>
  </si>
  <si>
    <t>98686</t>
  </si>
  <si>
    <t>98356</t>
  </si>
  <si>
    <t>10 Nichols St</t>
  </si>
  <si>
    <t>99122</t>
  </si>
  <si>
    <t>99159</t>
  </si>
  <si>
    <t>98841</t>
  </si>
  <si>
    <t>98001</t>
  </si>
  <si>
    <t>98405</t>
  </si>
  <si>
    <t>MULTICARE HEALTH SYSTEM - Mary Bridge Childrens Hosp</t>
  </si>
  <si>
    <t>MULTICARE HEALTH SYSTEM- Tacoma General Hospital</t>
  </si>
  <si>
    <t>98402</t>
  </si>
  <si>
    <t>99156</t>
  </si>
  <si>
    <t>98133</t>
  </si>
  <si>
    <t>98624</t>
  </si>
  <si>
    <t>98855</t>
  </si>
  <si>
    <t>99344</t>
  </si>
  <si>
    <t>99301</t>
  </si>
  <si>
    <t>98004</t>
  </si>
  <si>
    <t>98250</t>
  </si>
  <si>
    <t>98284</t>
  </si>
  <si>
    <t>99350</t>
  </si>
  <si>
    <t>98531</t>
  </si>
  <si>
    <t>5633 N Lidgerwood St</t>
  </si>
  <si>
    <t>99208</t>
  </si>
  <si>
    <t>982 E Columbia Ave</t>
  </si>
  <si>
    <t>99114</t>
  </si>
  <si>
    <t>1321 Colby Ave</t>
  </si>
  <si>
    <t>98201</t>
  </si>
  <si>
    <t>99109</t>
  </si>
  <si>
    <t>401 W Poplar St</t>
  </si>
  <si>
    <t>99362</t>
  </si>
  <si>
    <t>98584</t>
  </si>
  <si>
    <t>98273</t>
  </si>
  <si>
    <t>98034</t>
  </si>
  <si>
    <t>WA</t>
  </si>
  <si>
    <t>98055</t>
  </si>
  <si>
    <t>99163</t>
  </si>
  <si>
    <t>11315 Bridgeport Way SW</t>
  </si>
  <si>
    <t>98499</t>
  </si>
  <si>
    <t>98837</t>
  </si>
  <si>
    <t>98109</t>
  </si>
  <si>
    <t>4800 Sand Point Way NE</t>
  </si>
  <si>
    <t>98105</t>
  </si>
  <si>
    <t>98221</t>
  </si>
  <si>
    <t>98332</t>
  </si>
  <si>
    <t>98022</t>
  </si>
  <si>
    <t>98632</t>
  </si>
  <si>
    <t xml:space="preserve">ST JOSEPH MEDICAL CENTER </t>
  </si>
  <si>
    <t>St Joseph Medical Center - Bellingham</t>
  </si>
  <si>
    <t>98225</t>
  </si>
  <si>
    <t>98506</t>
  </si>
  <si>
    <t>SUMMIT PACIFIC MEDICAL CENTER Elma</t>
  </si>
  <si>
    <t>98541</t>
  </si>
  <si>
    <t>SUMMIT PACIFIC MEDICAL CENTER Mark Reed</t>
  </si>
  <si>
    <t>98557</t>
  </si>
  <si>
    <t>98944</t>
  </si>
  <si>
    <t>98122</t>
  </si>
  <si>
    <t>98029</t>
  </si>
  <si>
    <t>98812</t>
  </si>
  <si>
    <t>99403</t>
  </si>
  <si>
    <t>98003</t>
  </si>
  <si>
    <t>98272</t>
  </si>
  <si>
    <t>12606 E Mission Ave</t>
  </si>
  <si>
    <t>99216</t>
  </si>
  <si>
    <t>98101</t>
  </si>
  <si>
    <t>98239</t>
  </si>
  <si>
    <t>99111</t>
  </si>
  <si>
    <t>98586</t>
  </si>
  <si>
    <t>110 S 9TH AVE</t>
  </si>
  <si>
    <t>98902</t>
  </si>
  <si>
    <t>Facility Name</t>
  </si>
  <si>
    <t>County</t>
  </si>
  <si>
    <t>BRIDGES E&amp;T - YAKIMA</t>
  </si>
  <si>
    <t>Yakima</t>
  </si>
  <si>
    <t>Compass Health (Mukleteo?)</t>
  </si>
  <si>
    <t>Snohomish</t>
  </si>
  <si>
    <t>Frontier Behavioral Health (Calispell &amp; Foothills)</t>
  </si>
  <si>
    <t>Spokane</t>
  </si>
  <si>
    <t xml:space="preserve">Greater Lakes </t>
  </si>
  <si>
    <t>Pierce</t>
  </si>
  <si>
    <t>KITSAP E&amp;T CTR</t>
  </si>
  <si>
    <t>Kitsap</t>
  </si>
  <si>
    <t>Navos E-beds</t>
  </si>
  <si>
    <t>King</t>
  </si>
  <si>
    <t>PIERCE E&amp;T - TELECARE</t>
  </si>
  <si>
    <t>Recovery Innovations Lakewood</t>
  </si>
  <si>
    <t>Telecare Clark County E&amp;T</t>
  </si>
  <si>
    <t>Clark</t>
  </si>
  <si>
    <t>Telecare North Sound Evaluation and Treatment</t>
  </si>
  <si>
    <t>Skagit</t>
  </si>
  <si>
    <t>THURSTON/MASON E&amp;T FACILITY</t>
  </si>
  <si>
    <t>Thurston</t>
  </si>
  <si>
    <t>TWO RIVERS LANDING</t>
  </si>
  <si>
    <t>City</t>
  </si>
  <si>
    <t>State</t>
  </si>
  <si>
    <t>Adventist Medical Center - Behavior</t>
  </si>
  <si>
    <t>Portland</t>
  </si>
  <si>
    <t>Oregon</t>
  </si>
  <si>
    <t>EMANUEL HOSPITAL</t>
  </si>
  <si>
    <t>GOOD SAMARITAN REGIONAL MEDICAL CEN</t>
  </si>
  <si>
    <t>Corvallis</t>
  </si>
  <si>
    <t>KALISPELL REGIONAL HOSPITAL</t>
  </si>
  <si>
    <t>Kalispell</t>
  </si>
  <si>
    <t>Montanna</t>
  </si>
  <si>
    <t>KOOTENAI MEDICAL CENTER</t>
  </si>
  <si>
    <t>COEUR D ALENE</t>
  </si>
  <si>
    <t>Idaho</t>
  </si>
  <si>
    <t>Legacy Good Samaritan Hospital and</t>
  </si>
  <si>
    <t>OREGON HEALTH SCIENCES UNIV</t>
  </si>
  <si>
    <t>PROVIDENCE PORTLAND MEDICAL CENTER</t>
  </si>
  <si>
    <t>PROVIDENCE ST VINCENT MED CTR</t>
  </si>
  <si>
    <t>PROVIDENCE WILLAMETTE FALLS MEDICAL</t>
  </si>
  <si>
    <t xml:space="preserve">Oregon City </t>
  </si>
  <si>
    <t>ROGUE REGIONAL MEDICAL CENTER</t>
  </si>
  <si>
    <t>Medford</t>
  </si>
  <si>
    <t>Sacred Heart - Univ District</t>
  </si>
  <si>
    <t>Eugene</t>
  </si>
  <si>
    <t>SAGEVIEW AT ST CHARLES</t>
  </si>
  <si>
    <t>ST ALPHONSUS PSYCHIATRIC UNIT</t>
  </si>
  <si>
    <t>Boise</t>
  </si>
  <si>
    <t>ST JOSEPH REGIONAL MEDICAL CTR</t>
  </si>
  <si>
    <t>Lewiston</t>
  </si>
  <si>
    <t>ST LUKES MAGIC VALLEY REGIONAL</t>
  </si>
  <si>
    <t>Twin Falls</t>
  </si>
  <si>
    <t>WEST VALLEY MEDICAL CENTER</t>
  </si>
  <si>
    <t>Caldwell</t>
  </si>
  <si>
    <t>Bend</t>
  </si>
  <si>
    <t>SMOKEY POINT BEHAVIORAL HOSPITAL</t>
  </si>
  <si>
    <t>ABHS Specialty Services I LLC</t>
  </si>
  <si>
    <t>45-Substance Abuse Rehabilitation Facility</t>
  </si>
  <si>
    <t>Chehalis</t>
  </si>
  <si>
    <t>1Q MH Agency</t>
  </si>
  <si>
    <t>ALCS</t>
  </si>
  <si>
    <t>096700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</si>
</sst>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CDCDCD"/>
      </bottom>
      <diagonal/>
    </border>
    <border>
      <left/>
      <right style="medium">
        <color rgb="FFCDCDCD"/>
      </right>
      <top/>
      <bottom style="medium">
        <color rgb="FFCDCD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6" fillId="0" borderId="0" xfId="0" applyNumberFormat="1" applyFont="1"/>
    <xf numFmtId="0" fontId="16" fillId="0" borderId="0" xfId="0" applyNumberFormat="1" applyFont="1" applyFill="1"/>
    <xf numFmtId="0" fontId="1" fillId="0" borderId="0" xfId="0" applyFont="1"/>
    <xf numFmtId="0" fontId="1" fillId="0" borderId="0" xfId="0" applyFont="1" applyFill="1"/>
    <xf numFmtId="0" fontId="0" fillId="0" borderId="0" xfId="0" applyFont="1"/>
    <xf numFmtId="0" fontId="16" fillId="0" borderId="0" xfId="0" applyFont="1"/>
    <xf numFmtId="0" fontId="20" fillId="0" borderId="0" xfId="0" applyFont="1"/>
    <xf numFmtId="0" fontId="0" fillId="33" borderId="10" xfId="0" applyFont="1" applyFill="1" applyBorder="1" applyAlignment="1">
      <alignment vertical="center" wrapText="1"/>
    </xf>
    <xf numFmtId="14" fontId="0" fillId="33" borderId="10" xfId="0" applyNumberFormat="1" applyFont="1" applyFill="1" applyBorder="1" applyAlignment="1">
      <alignment vertical="center" wrapText="1"/>
    </xf>
    <xf numFmtId="0" fontId="0" fillId="33" borderId="11" xfId="0" applyFont="1" applyFill="1" applyBorder="1" applyAlignment="1">
      <alignment vertical="center" wrapText="1"/>
    </xf>
    <xf numFmtId="14" fontId="0" fillId="0" borderId="0" xfId="0" applyNumberFormat="1" applyFont="1"/>
    <xf numFmtId="0" fontId="21" fillId="33" borderId="12" xfId="0" applyFont="1" applyFill="1" applyBorder="1" applyAlignment="1">
      <alignment horizontal="center" vertical="center" wrapText="1"/>
    </xf>
    <xf numFmtId="49" fontId="0" fillId="33" borderId="10" xfId="0" applyNumberFormat="1" applyFont="1" applyFill="1" applyBorder="1" applyAlignment="1">
      <alignment horizontal="right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ortGenericGridForProvider('frmGenericListPage','Grid1','SRT','Start%20Date','1');" TargetMode="External"/><Relationship Id="rId13" Type="http://schemas.openxmlformats.org/officeDocument/2006/relationships/hyperlink" Target="javascript:sortGenericGridForProvider('frmGenericListPage','Grid1','SRT','Enrollment%20Type','2');" TargetMode="External"/><Relationship Id="rId18" Type="http://schemas.openxmlformats.org/officeDocument/2006/relationships/hyperlink" Target="javascript:sortGenericGridForProvider('frmGenericListPage','Grid1','SRT','Location%20County','1');" TargetMode="External"/><Relationship Id="rId3" Type="http://schemas.openxmlformats.org/officeDocument/2006/relationships/hyperlink" Target="javascript:sortGenericGridForProvider('frmGenericListPage','Grid1','SRT','ProviderOne%20Id','2');" TargetMode="External"/><Relationship Id="rId21" Type="http://schemas.openxmlformats.org/officeDocument/2006/relationships/hyperlink" Target="javascript:sortGenericGridForProvider('frmGenericListPage','Grid1','SRT','Location%20State/Province','2');" TargetMode="External"/><Relationship Id="rId7" Type="http://schemas.openxmlformats.org/officeDocument/2006/relationships/hyperlink" Target="javascript:sortGenericGridForProvider('frmGenericListPage','Grid1','SRT','NPI','2');" TargetMode="External"/><Relationship Id="rId12" Type="http://schemas.openxmlformats.org/officeDocument/2006/relationships/hyperlink" Target="javascript:sortGenericGridForProvider('frmGenericListPage','Grid1','SRT','Enrollment%20Type','1');" TargetMode="External"/><Relationship Id="rId17" Type="http://schemas.openxmlformats.org/officeDocument/2006/relationships/hyperlink" Target="javascript:sortGenericGridForProvider('frmGenericListPage','Grid1','SRT','Provider%20Specialty','2');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sortGenericGridForProvider('frmGenericListPage','Grid1','SRT','Provider%20Specialty','1');" TargetMode="External"/><Relationship Id="rId20" Type="http://schemas.openxmlformats.org/officeDocument/2006/relationships/hyperlink" Target="javascript:sortGenericGridForProvider('frmGenericListPage','Grid1','SRT','Location%20State/Province','1');" TargetMode="External"/><Relationship Id="rId1" Type="http://schemas.openxmlformats.org/officeDocument/2006/relationships/hyperlink" Target="javascript:sortGenericGridForProvider('frmGenericListPage','Grid1','SRT','ProviderOne%20Id','1');" TargetMode="External"/><Relationship Id="rId6" Type="http://schemas.openxmlformats.org/officeDocument/2006/relationships/hyperlink" Target="javascript:sortGenericGridForProvider('frmGenericListPage','Grid1','SRT','NPI','1');" TargetMode="External"/><Relationship Id="rId11" Type="http://schemas.openxmlformats.org/officeDocument/2006/relationships/hyperlink" Target="javascript:sortGenericGridForProvider('frmGenericListPage','Grid1','SRT','End%20Date','2');" TargetMode="External"/><Relationship Id="rId5" Type="http://schemas.openxmlformats.org/officeDocument/2006/relationships/hyperlink" Target="javascript:sortGenericGridForProvider('frmGenericListPage','Grid1','SRT','Provider%20Name','2');" TargetMode="External"/><Relationship Id="rId15" Type="http://schemas.openxmlformats.org/officeDocument/2006/relationships/hyperlink" Target="javascript:sortGenericGridForProvider('frmGenericListPage','Grid1','SRT','Business%20Status','2');" TargetMode="External"/><Relationship Id="rId23" Type="http://schemas.openxmlformats.org/officeDocument/2006/relationships/hyperlink" Target="javascript:navigateProviderList('frmGenericListPage','Grid1','NAV','500216682-4-1-0-0','3');" TargetMode="External"/><Relationship Id="rId10" Type="http://schemas.openxmlformats.org/officeDocument/2006/relationships/hyperlink" Target="javascript:sortGenericGridForProvider('frmGenericListPage','Grid1','SRT','End%20Date','1');" TargetMode="External"/><Relationship Id="rId19" Type="http://schemas.openxmlformats.org/officeDocument/2006/relationships/hyperlink" Target="javascript:sortGenericGridForProvider('frmGenericListPage','Grid1','SRT','Location%20County','2');" TargetMode="External"/><Relationship Id="rId4" Type="http://schemas.openxmlformats.org/officeDocument/2006/relationships/hyperlink" Target="javascript:sortGenericGridForProvider('frmGenericListPage','Grid1','SRT','Provider%20Name','1');" TargetMode="External"/><Relationship Id="rId9" Type="http://schemas.openxmlformats.org/officeDocument/2006/relationships/hyperlink" Target="javascript:sortGenericGridForProvider('frmGenericListPage','Grid1','SRT','Start%20Date','2');" TargetMode="External"/><Relationship Id="rId14" Type="http://schemas.openxmlformats.org/officeDocument/2006/relationships/hyperlink" Target="javascript:sortGenericGridForProvider('frmGenericListPage','Grid1','SRT','Business%20Status','1');" TargetMode="External"/><Relationship Id="rId22" Type="http://schemas.openxmlformats.org/officeDocument/2006/relationships/hyperlink" Target="javascript:navigateProviderList('frmGenericListPage','Grid1','NAV','500216682-4','2'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https://www.providerone.wa.gov/ecams/images/common/ADA_ZeroSizeImage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Picture 2" descr="https://www.providerone.wa.gov/ecams/images/common/ADA_ZeroSizeImage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9525</xdr:rowOff>
    </xdr:to>
    <xdr:pic>
      <xdr:nvPicPr>
        <xdr:cNvPr id="4" name="Picture 3" descr="https://www.providerone.wa.gov/ecams/images/common/ADA_ZeroSizeImage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9525</xdr:rowOff>
    </xdr:to>
    <xdr:pic>
      <xdr:nvPicPr>
        <xdr:cNvPr id="5" name="Picture 4" descr="https://www.providerone.wa.gov/ecams/images/common/ADA_ZeroSizeImage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9525</xdr:rowOff>
    </xdr:to>
    <xdr:pic>
      <xdr:nvPicPr>
        <xdr:cNvPr id="6" name="Picture 5" descr="https://www.providerone.wa.gov/ecams/images/common/ADA_ZeroSizeImage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1</xdr:row>
      <xdr:rowOff>9525</xdr:rowOff>
    </xdr:to>
    <xdr:pic>
      <xdr:nvPicPr>
        <xdr:cNvPr id="7" name="Picture 6" descr="https://www.providerone.wa.gov/ecams/images/common/ADA_ZeroSizeImage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9525</xdr:rowOff>
    </xdr:to>
    <xdr:pic>
      <xdr:nvPicPr>
        <xdr:cNvPr id="8" name="Picture 7" descr="https://www.providerone.wa.gov/ecams/images/common/ADA_ZeroSizeImage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9525</xdr:rowOff>
    </xdr:to>
    <xdr:pic>
      <xdr:nvPicPr>
        <xdr:cNvPr id="9" name="Picture 8" descr="https://www.providerone.wa.gov/ecams/images/common/ADA_ZeroSizeImage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1</xdr:row>
      <xdr:rowOff>9525</xdr:rowOff>
    </xdr:to>
    <xdr:pic>
      <xdr:nvPicPr>
        <xdr:cNvPr id="10" name="Picture 9" descr="https://www.providerone.wa.gov/ecams/images/common/ADA_ZeroSizeImage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1</xdr:row>
      <xdr:rowOff>9525</xdr:rowOff>
    </xdr:to>
    <xdr:pic>
      <xdr:nvPicPr>
        <xdr:cNvPr id="11" name="Picture 10" descr="https://www.providerone.wa.gov/ecams/images/common/ADA_ZeroSizeImage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12" name="Picture 11" descr="https://www.providerone.wa.gov/ecams/images/common/ADA_ZeroSizeImage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13" name="Picture 12" descr="https://www.providerone.wa.gov/ecams/images/common/ADA_ZeroSizeImage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9525</xdr:rowOff>
    </xdr:to>
    <xdr:pic>
      <xdr:nvPicPr>
        <xdr:cNvPr id="14" name="Picture 13" descr="https://www.providerone.wa.gov/ecams/images/common/ADA_ZeroSizeImage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9525</xdr:rowOff>
    </xdr:to>
    <xdr:pic>
      <xdr:nvPicPr>
        <xdr:cNvPr id="15" name="Picture 14" descr="https://www.providerone.wa.gov/ecams/images/common/ADA_ZeroSizeImage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9525</xdr:rowOff>
    </xdr:to>
    <xdr:pic>
      <xdr:nvPicPr>
        <xdr:cNvPr id="16" name="Picture 15" descr="https://www.providerone.wa.gov/ecams/images/common/ADA_ZeroSizeImage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9525</xdr:rowOff>
    </xdr:to>
    <xdr:pic>
      <xdr:nvPicPr>
        <xdr:cNvPr id="17" name="Picture 16" descr="https://www.providerone.wa.gov/ecams/images/common/ADA_ZeroSizeImage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9525</xdr:rowOff>
    </xdr:to>
    <xdr:pic>
      <xdr:nvPicPr>
        <xdr:cNvPr id="18" name="Picture 17" descr="https://www.providerone.wa.gov/ecams/images/common/ADA_ZeroSizeImage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9525</xdr:rowOff>
    </xdr:to>
    <xdr:pic>
      <xdr:nvPicPr>
        <xdr:cNvPr id="19" name="Picture 18" descr="https://www.providerone.wa.gov/ecams/images/common/ADA_ZeroSizeImage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9525</xdr:colOff>
      <xdr:row>1</xdr:row>
      <xdr:rowOff>9525</xdr:rowOff>
    </xdr:to>
    <xdr:pic>
      <xdr:nvPicPr>
        <xdr:cNvPr id="20" name="Picture 19" descr="https://www.providerone.wa.gov/ecams/images/common/ADA_ZeroSizeImage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9525</xdr:colOff>
      <xdr:row>1</xdr:row>
      <xdr:rowOff>9525</xdr:rowOff>
    </xdr:to>
    <xdr:pic>
      <xdr:nvPicPr>
        <xdr:cNvPr id="21" name="Picture 20" descr="https://www.providerone.wa.gov/ecams/images/common/ADA_ZeroSizeImage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2" name="Picture 21" descr="https://www.providerone.wa.gov/ecams/images/common/ADA_ZeroSizeImage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9525</xdr:rowOff>
    </xdr:to>
    <xdr:pic>
      <xdr:nvPicPr>
        <xdr:cNvPr id="23" name="Picture 22" descr="https://www.providerone.wa.gov/ecams/images/common/ADA_ZeroSizeImage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24" sqref="B24"/>
    </sheetView>
  </sheetViews>
  <sheetFormatPr defaultRowHeight="14.5" x14ac:dyDescent="0.35"/>
  <cols>
    <col min="2" max="2" width="57.7265625" customWidth="1"/>
    <col min="3" max="3" width="15.7265625" customWidth="1"/>
    <col min="4" max="4" width="11.7265625" customWidth="1"/>
    <col min="5" max="5" width="12.26953125" customWidth="1"/>
    <col min="8" max="8" width="11.81640625" customWidth="1"/>
    <col min="10" max="10" width="10.453125" customWidth="1"/>
  </cols>
  <sheetData>
    <row r="1" spans="1:11" x14ac:dyDescent="0.35">
      <c r="A1" t="str">
        <f>"ProviderOne Id"</f>
        <v>ProviderOne Id</v>
      </c>
      <c r="B1" t="str">
        <f>"Provider Name"</f>
        <v>Provider Name</v>
      </c>
      <c r="C1" t="str">
        <f>"NPI"</f>
        <v>NPI</v>
      </c>
      <c r="D1" t="str">
        <f>"Start Date"</f>
        <v>Start Date</v>
      </c>
      <c r="E1" t="str">
        <f>"End Date"</f>
        <v>End Date</v>
      </c>
      <c r="F1" t="str">
        <f>"Enrollment Type"</f>
        <v>Enrollment Type</v>
      </c>
      <c r="G1" t="str">
        <f>"Business Status"</f>
        <v>Business Status</v>
      </c>
      <c r="H1" t="str">
        <f>"Provider Specialty"</f>
        <v>Provider Specialty</v>
      </c>
      <c r="I1" t="str">
        <f>"Location County"</f>
        <v>Location County</v>
      </c>
      <c r="J1" t="str">
        <f>"Location State/Province"</f>
        <v>Location State/Province</v>
      </c>
      <c r="K1" t="str">
        <f>"RNM"</f>
        <v>RNM</v>
      </c>
    </row>
    <row r="2" spans="1:11" x14ac:dyDescent="0.35">
      <c r="A2" t="str">
        <f>"2022468"</f>
        <v>2022468</v>
      </c>
      <c r="B2" t="str">
        <f>"Multicare Behavioral Health Inpatient Services - Auburn"</f>
        <v>Multicare Behavioral Health Inpatient Services - Auburn</v>
      </c>
      <c r="C2" t="str">
        <f>"1770579534"</f>
        <v>1770579534</v>
      </c>
      <c r="D2" t="str">
        <f>"10/01/2012"</f>
        <v>10/01/2012</v>
      </c>
      <c r="E2" t="str">
        <f t="shared" ref="E2:E20" si="0">"12/31/2999"</f>
        <v>12/31/2999</v>
      </c>
      <c r="F2" t="str">
        <f>"Fac/Agncy/Orgn/Inst"</f>
        <v>Fac/Agncy/Orgn/Inst</v>
      </c>
      <c r="G2" t="str">
        <f t="shared" ref="G2:G7" si="1">"Active/Open"</f>
        <v>Active/Open</v>
      </c>
      <c r="H2" t="str">
        <f t="shared" ref="H2:H20" si="2">"3R-Psychiatric Unit"</f>
        <v>3R-Psychiatric Unit</v>
      </c>
      <c r="I2" t="str">
        <f>"KING"</f>
        <v>KING</v>
      </c>
      <c r="J2" t="str">
        <f>"WASHINGTON"</f>
        <v>WASHINGTON</v>
      </c>
      <c r="K2" t="str">
        <f>"1"</f>
        <v>1</v>
      </c>
    </row>
    <row r="3" spans="1:11" x14ac:dyDescent="0.35">
      <c r="A3" t="str">
        <f>"2006942"</f>
        <v>2006942</v>
      </c>
      <c r="B3" t="str">
        <f>"ST JOSEPH MEDICAL CENTER"</f>
        <v>ST JOSEPH MEDICAL CENTER</v>
      </c>
      <c r="C3" t="str">
        <f>"1710945910"</f>
        <v>1710945910</v>
      </c>
      <c r="D3" t="str">
        <f>"10/01/1991"</f>
        <v>10/01/1991</v>
      </c>
      <c r="E3" t="str">
        <f t="shared" si="0"/>
        <v>12/31/2999</v>
      </c>
      <c r="F3" t="str">
        <f>"Fac/Agncy/Orgn/Inst"</f>
        <v>Fac/Agncy/Orgn/Inst</v>
      </c>
      <c r="G3" t="str">
        <f t="shared" si="1"/>
        <v>Active/Open</v>
      </c>
      <c r="H3" t="str">
        <f t="shared" si="2"/>
        <v>3R-Psychiatric Unit</v>
      </c>
      <c r="I3" t="str">
        <f>"WHATCOM"</f>
        <v>WHATCOM</v>
      </c>
      <c r="J3" t="str">
        <f>"WASHINGTON"</f>
        <v>WASHINGTON</v>
      </c>
      <c r="K3" t="str">
        <f>"2"</f>
        <v>2</v>
      </c>
    </row>
    <row r="4" spans="1:11" x14ac:dyDescent="0.35">
      <c r="A4" t="str">
        <f>"2001472"</f>
        <v>2001472</v>
      </c>
      <c r="B4" t="str">
        <f>"PROVIDENCE SACRED HEART MED CNTR AND CHILDRENS HSPTL"</f>
        <v>PROVIDENCE SACRED HEART MED CNTR AND CHILDRENS HSPTL</v>
      </c>
      <c r="C4" t="str">
        <f>"1144471715"</f>
        <v>1144471715</v>
      </c>
      <c r="D4" t="str">
        <f>"01/01/1966"</f>
        <v>01/01/1966</v>
      </c>
      <c r="E4" t="str">
        <f t="shared" si="0"/>
        <v>12/31/2999</v>
      </c>
      <c r="F4" t="str">
        <f t="shared" ref="F4:F20" si="3">"Fac/Agncy/Orgn/Inst"</f>
        <v>Fac/Agncy/Orgn/Inst</v>
      </c>
      <c r="G4" t="str">
        <f t="shared" si="1"/>
        <v>Active/Open</v>
      </c>
      <c r="H4" t="str">
        <f t="shared" si="2"/>
        <v>3R-Psychiatric Unit</v>
      </c>
      <c r="I4" t="str">
        <f>"SPOKANE"</f>
        <v>SPOKANE</v>
      </c>
      <c r="J4" t="str">
        <f t="shared" ref="J4:J8" si="4">"Washington"</f>
        <v>Washington</v>
      </c>
      <c r="K4" t="str">
        <f>"5"</f>
        <v>5</v>
      </c>
    </row>
    <row r="5" spans="1:11" x14ac:dyDescent="0.35">
      <c r="A5" t="str">
        <f>"1060636"</f>
        <v>1060636</v>
      </c>
      <c r="B5" t="str">
        <f>"UNIVERSITY OF WASHINGTON MED CN"</f>
        <v>UNIVERSITY OF WASHINGTON MED CN</v>
      </c>
      <c r="C5" t="str">
        <f>"1891895835"</f>
        <v>1891895835</v>
      </c>
      <c r="D5" t="str">
        <f>"10/01/1991"</f>
        <v>10/01/1991</v>
      </c>
      <c r="E5" t="str">
        <f t="shared" si="0"/>
        <v>12/31/2999</v>
      </c>
      <c r="F5" t="str">
        <f t="shared" si="3"/>
        <v>Fac/Agncy/Orgn/Inst</v>
      </c>
      <c r="G5" t="str">
        <f t="shared" si="1"/>
        <v>Active/Open</v>
      </c>
      <c r="H5" t="str">
        <f t="shared" si="2"/>
        <v>3R-Psychiatric Unit</v>
      </c>
      <c r="I5" t="str">
        <f>"KING"</f>
        <v>KING</v>
      </c>
      <c r="J5" t="str">
        <f t="shared" si="4"/>
        <v>Washington</v>
      </c>
      <c r="K5" t="str">
        <f>"7"</f>
        <v>7</v>
      </c>
    </row>
    <row r="6" spans="1:11" x14ac:dyDescent="0.35">
      <c r="A6" t="str">
        <f>"1046396"</f>
        <v>1046396</v>
      </c>
      <c r="B6" t="str">
        <f>"PUBLIC HOSPITAL DISTRICT"</f>
        <v>PUBLIC HOSPITAL DISTRICT</v>
      </c>
      <c r="C6" t="str">
        <f>"1962513572"</f>
        <v>1962513572</v>
      </c>
      <c r="D6" t="str">
        <f>"01/01/1966"</f>
        <v>01/01/1966</v>
      </c>
      <c r="E6" t="str">
        <f t="shared" si="0"/>
        <v>12/31/2999</v>
      </c>
      <c r="F6" t="str">
        <f t="shared" si="3"/>
        <v>Fac/Agncy/Orgn/Inst</v>
      </c>
      <c r="G6" t="str">
        <f t="shared" si="1"/>
        <v>Active/Open</v>
      </c>
      <c r="H6" t="str">
        <f t="shared" si="2"/>
        <v>3R-Psychiatric Unit</v>
      </c>
      <c r="I6" t="str">
        <f>"SNOHOMISH"</f>
        <v>SNOHOMISH</v>
      </c>
      <c r="J6" t="str">
        <f t="shared" si="4"/>
        <v>Washington</v>
      </c>
      <c r="K6" t="str">
        <f>"8"</f>
        <v>8</v>
      </c>
    </row>
    <row r="7" spans="1:11" x14ac:dyDescent="0.35">
      <c r="A7" t="str">
        <f>"1044456"</f>
        <v>1044456</v>
      </c>
      <c r="B7" t="str">
        <f>"NORTHWEST HOSPITAL"</f>
        <v>NORTHWEST HOSPITAL</v>
      </c>
      <c r="C7" t="str">
        <f>"1497766067"</f>
        <v>1497766067</v>
      </c>
      <c r="D7" t="str">
        <f>"02/01/1995"</f>
        <v>02/01/1995</v>
      </c>
      <c r="E7" t="str">
        <f t="shared" si="0"/>
        <v>12/31/2999</v>
      </c>
      <c r="F7" t="str">
        <f t="shared" si="3"/>
        <v>Fac/Agncy/Orgn/Inst</v>
      </c>
      <c r="G7" t="str">
        <f t="shared" si="1"/>
        <v>Active/Open</v>
      </c>
      <c r="H7" t="str">
        <f t="shared" si="2"/>
        <v>3R-Psychiatric Unit</v>
      </c>
      <c r="I7" t="str">
        <f>"KING"</f>
        <v>KING</v>
      </c>
      <c r="J7" t="str">
        <f t="shared" si="4"/>
        <v>Washington</v>
      </c>
      <c r="K7" t="str">
        <f>"9"</f>
        <v>9</v>
      </c>
    </row>
    <row r="8" spans="1:11" x14ac:dyDescent="0.35">
      <c r="A8" t="str">
        <f>"1043286"</f>
        <v>1043286</v>
      </c>
      <c r="B8" t="str">
        <f>"PUBLIC HOSPITAL DISTRICT 304 OF"</f>
        <v>PUBLIC HOSPITAL DISTRICT 304 OF</v>
      </c>
      <c r="C8" t="str">
        <f>"1215050083"</f>
        <v>1215050083</v>
      </c>
      <c r="D8" t="str">
        <f>"01/01/2005"</f>
        <v>01/01/2005</v>
      </c>
      <c r="E8" t="str">
        <f t="shared" si="0"/>
        <v>12/31/2999</v>
      </c>
      <c r="F8" t="str">
        <f t="shared" si="3"/>
        <v>Fac/Agncy/Orgn/Inst</v>
      </c>
      <c r="G8" t="str">
        <f>"In-Active/Closed"</f>
        <v>In-Active/Closed</v>
      </c>
      <c r="H8" t="str">
        <f t="shared" si="2"/>
        <v>3R-Psychiatric Unit</v>
      </c>
      <c r="I8" t="str">
        <f>"SKAGIT"</f>
        <v>SKAGIT</v>
      </c>
      <c r="J8" t="str">
        <f t="shared" si="4"/>
        <v>Washington</v>
      </c>
      <c r="K8" t="str">
        <f>"10"</f>
        <v>10</v>
      </c>
    </row>
    <row r="9" spans="1:11" x14ac:dyDescent="0.35">
      <c r="A9" t="str">
        <f>"1043087"</f>
        <v>1043087</v>
      </c>
      <c r="B9" t="str">
        <f>"SWEDISH MEDICAL CENTER CHERRY HILL"</f>
        <v>SWEDISH MEDICAL CENTER CHERRY HILL</v>
      </c>
      <c r="C9" t="str">
        <f>"1154476208"</f>
        <v>1154476208</v>
      </c>
      <c r="D9" t="str">
        <f>"10/01/1991"</f>
        <v>10/01/1991</v>
      </c>
      <c r="E9" t="str">
        <f t="shared" si="0"/>
        <v>12/31/2999</v>
      </c>
      <c r="F9" t="str">
        <f t="shared" si="3"/>
        <v>Fac/Agncy/Orgn/Inst</v>
      </c>
      <c r="G9" t="str">
        <f t="shared" ref="G9:G20" si="5">"Active/Open"</f>
        <v>Active/Open</v>
      </c>
      <c r="H9" t="str">
        <f t="shared" si="2"/>
        <v>3R-Psychiatric Unit</v>
      </c>
      <c r="I9" t="str">
        <f>"KING"</f>
        <v>KING</v>
      </c>
      <c r="J9" t="str">
        <f>"WASHINGTON"</f>
        <v>WASHINGTON</v>
      </c>
      <c r="K9" t="str">
        <f>"11"</f>
        <v>11</v>
      </c>
    </row>
    <row r="10" spans="1:11" x14ac:dyDescent="0.35">
      <c r="A10" t="str">
        <f>"1042669"</f>
        <v>1042669</v>
      </c>
      <c r="B10" t="str">
        <f>"YAKIMA VALLEY MEMORIAL HOSPITAL"</f>
        <v>YAKIMA VALLEY MEMORIAL HOSPITAL</v>
      </c>
      <c r="C10" t="str">
        <f>"1053373480"</f>
        <v>1053373480</v>
      </c>
      <c r="D10" t="str">
        <f>"01/01/1966"</f>
        <v>01/01/1966</v>
      </c>
      <c r="E10" t="str">
        <f t="shared" si="0"/>
        <v>12/31/2999</v>
      </c>
      <c r="F10" t="str">
        <f t="shared" si="3"/>
        <v>Fac/Agncy/Orgn/Inst</v>
      </c>
      <c r="G10" t="str">
        <f t="shared" si="5"/>
        <v>Active/Open</v>
      </c>
      <c r="H10" t="str">
        <f t="shared" si="2"/>
        <v>3R-Psychiatric Unit</v>
      </c>
      <c r="I10" t="str">
        <f>"YAKIMA"</f>
        <v>YAKIMA</v>
      </c>
      <c r="J10" t="str">
        <f t="shared" ref="J10:J19" si="6">"Washington"</f>
        <v>Washington</v>
      </c>
      <c r="K10" t="str">
        <f>"12"</f>
        <v>12</v>
      </c>
    </row>
    <row r="11" spans="1:11" x14ac:dyDescent="0.35">
      <c r="A11" t="str">
        <f>"1019565"</f>
        <v>1019565</v>
      </c>
      <c r="B11" t="str">
        <f>"OVERLAKE HOSPITAL MEDICAL CENTER"</f>
        <v>OVERLAKE HOSPITAL MEDICAL CENTER</v>
      </c>
      <c r="C11" t="str">
        <f>"1811904063"</f>
        <v>1811904063</v>
      </c>
      <c r="D11" t="str">
        <f>"08/21/1987"</f>
        <v>08/21/1987</v>
      </c>
      <c r="E11" t="str">
        <f t="shared" si="0"/>
        <v>12/31/2999</v>
      </c>
      <c r="F11" t="str">
        <f t="shared" si="3"/>
        <v>Fac/Agncy/Orgn/Inst</v>
      </c>
      <c r="G11" t="str">
        <f t="shared" si="5"/>
        <v>Active/Open</v>
      </c>
      <c r="H11" t="str">
        <f t="shared" si="2"/>
        <v>3R-Psychiatric Unit</v>
      </c>
      <c r="I11" t="str">
        <f>"KING"</f>
        <v>KING</v>
      </c>
      <c r="J11" t="str">
        <f t="shared" si="6"/>
        <v>Washington</v>
      </c>
      <c r="K11" t="str">
        <f>"13"</f>
        <v>13</v>
      </c>
    </row>
    <row r="12" spans="1:11" x14ac:dyDescent="0.35">
      <c r="A12" t="str">
        <f>"1019127"</f>
        <v>1019127</v>
      </c>
      <c r="B12" t="str">
        <f>"Highline Medical Center"</f>
        <v>Highline Medical Center</v>
      </c>
      <c r="C12" t="str">
        <f>"1790852077"</f>
        <v>1790852077</v>
      </c>
      <c r="D12" t="str">
        <f>"10/01/1991"</f>
        <v>10/01/1991</v>
      </c>
      <c r="E12" t="str">
        <f t="shared" si="0"/>
        <v>12/31/2999</v>
      </c>
      <c r="F12" t="str">
        <f t="shared" si="3"/>
        <v>Fac/Agncy/Orgn/Inst</v>
      </c>
      <c r="G12" t="str">
        <f t="shared" si="5"/>
        <v>Active/Open</v>
      </c>
      <c r="H12" t="str">
        <f t="shared" si="2"/>
        <v>3R-Psychiatric Unit</v>
      </c>
      <c r="I12" t="str">
        <f>"KING"</f>
        <v>KING</v>
      </c>
      <c r="J12" t="str">
        <f t="shared" si="6"/>
        <v>Washington</v>
      </c>
      <c r="K12" t="str">
        <f>"14"</f>
        <v>14</v>
      </c>
    </row>
    <row r="13" spans="1:11" x14ac:dyDescent="0.35">
      <c r="A13" t="str">
        <f>"1012640"</f>
        <v>1012640</v>
      </c>
      <c r="B13" t="str">
        <f>"SACRED HEART MEDICAL CENTER"</f>
        <v>SACRED HEART MEDICAL CENTER</v>
      </c>
      <c r="C13" t="str">
        <f>"1528163763"</f>
        <v>1528163763</v>
      </c>
      <c r="D13" t="str">
        <f>"10/01/1991"</f>
        <v>10/01/1991</v>
      </c>
      <c r="E13" t="str">
        <f t="shared" si="0"/>
        <v>12/31/2999</v>
      </c>
      <c r="F13" t="str">
        <f t="shared" si="3"/>
        <v>Fac/Agncy/Orgn/Inst</v>
      </c>
      <c r="G13" t="str">
        <f t="shared" si="5"/>
        <v>Active/Open</v>
      </c>
      <c r="H13" t="str">
        <f t="shared" si="2"/>
        <v>3R-Psychiatric Unit</v>
      </c>
      <c r="I13" t="str">
        <f>"SPOKANE"</f>
        <v>SPOKANE</v>
      </c>
      <c r="J13" t="str">
        <f t="shared" si="6"/>
        <v>Washington</v>
      </c>
      <c r="K13" t="str">
        <f>"16"</f>
        <v>16</v>
      </c>
    </row>
    <row r="14" spans="1:11" x14ac:dyDescent="0.35">
      <c r="A14" t="str">
        <f>"1012073"</f>
        <v>1012073</v>
      </c>
      <c r="B14" t="str">
        <f>"PROVIDENCE ST PETER HOSPITAL"</f>
        <v>PROVIDENCE ST PETER HOSPITAL</v>
      </c>
      <c r="C14" t="str">
        <f>"1508877689"</f>
        <v>1508877689</v>
      </c>
      <c r="D14" t="str">
        <f>"10/01/1991"</f>
        <v>10/01/1991</v>
      </c>
      <c r="E14" t="str">
        <f t="shared" si="0"/>
        <v>12/31/2999</v>
      </c>
      <c r="F14" t="str">
        <f t="shared" si="3"/>
        <v>Fac/Agncy/Orgn/Inst</v>
      </c>
      <c r="G14" t="str">
        <f t="shared" si="5"/>
        <v>Active/Open</v>
      </c>
      <c r="H14" t="str">
        <f t="shared" si="2"/>
        <v>3R-Psychiatric Unit</v>
      </c>
      <c r="I14" t="str">
        <f>"THURSTON"</f>
        <v>THURSTON</v>
      </c>
      <c r="J14" t="str">
        <f t="shared" si="6"/>
        <v>Washington</v>
      </c>
      <c r="K14" t="str">
        <f>"17"</f>
        <v>17</v>
      </c>
    </row>
    <row r="15" spans="1:11" x14ac:dyDescent="0.35">
      <c r="A15" t="str">
        <f>"1011373"</f>
        <v>1011373</v>
      </c>
      <c r="B15" t="str">
        <f>"SEATTLE CHILDRENS"</f>
        <v>SEATTLE CHILDRENS</v>
      </c>
      <c r="C15" t="str">
        <f>"1477622595"</f>
        <v>1477622595</v>
      </c>
      <c r="D15" t="str">
        <f>"10/01/1991"</f>
        <v>10/01/1991</v>
      </c>
      <c r="E15" t="str">
        <f t="shared" si="0"/>
        <v>12/31/2999</v>
      </c>
      <c r="F15" t="str">
        <f t="shared" si="3"/>
        <v>Fac/Agncy/Orgn/Inst</v>
      </c>
      <c r="G15" t="str">
        <f t="shared" si="5"/>
        <v>Active/Open</v>
      </c>
      <c r="H15" t="str">
        <f t="shared" si="2"/>
        <v>3R-Psychiatric Unit</v>
      </c>
      <c r="I15" t="str">
        <f>"KING"</f>
        <v>KING</v>
      </c>
      <c r="J15" t="str">
        <f t="shared" si="6"/>
        <v>Washington</v>
      </c>
      <c r="K15" t="str">
        <f>"18"</f>
        <v>18</v>
      </c>
    </row>
    <row r="16" spans="1:11" x14ac:dyDescent="0.35">
      <c r="A16" t="str">
        <f>"1010752"</f>
        <v>1010752</v>
      </c>
      <c r="B16" t="str">
        <f>"LAKE CHELAN COMMUNITY HOSPITAL"</f>
        <v>LAKE CHELAN COMMUNITY HOSPITAL</v>
      </c>
      <c r="C16" t="str">
        <f>"1447476478"</f>
        <v>1447476478</v>
      </c>
      <c r="D16" t="str">
        <f>"01/01/1966"</f>
        <v>01/01/1966</v>
      </c>
      <c r="E16" t="str">
        <f t="shared" si="0"/>
        <v>12/31/2999</v>
      </c>
      <c r="F16" t="str">
        <f t="shared" si="3"/>
        <v>Fac/Agncy/Orgn/Inst</v>
      </c>
      <c r="G16" t="str">
        <f t="shared" si="5"/>
        <v>Active/Open</v>
      </c>
      <c r="H16" t="str">
        <f t="shared" si="2"/>
        <v>3R-Psychiatric Unit</v>
      </c>
      <c r="I16" t="str">
        <f>"CHELAN"</f>
        <v>CHELAN</v>
      </c>
      <c r="J16" t="str">
        <f t="shared" si="6"/>
        <v>Washington</v>
      </c>
      <c r="K16" t="str">
        <f>"19"</f>
        <v>19</v>
      </c>
    </row>
    <row r="17" spans="1:11" x14ac:dyDescent="0.35">
      <c r="A17" t="str">
        <f>"1007650"</f>
        <v>1007650</v>
      </c>
      <c r="B17" t="str">
        <f>"UNIV OF WASHINGTON MEDICAL CTR"</f>
        <v>UNIV OF WASHINGTON MEDICAL CTR</v>
      </c>
      <c r="C17" t="str">
        <f>"1326002049"</f>
        <v>1326002049</v>
      </c>
      <c r="D17" t="str">
        <f>"01/01/1966"</f>
        <v>01/01/1966</v>
      </c>
      <c r="E17" t="str">
        <f t="shared" si="0"/>
        <v>12/31/2999</v>
      </c>
      <c r="F17" t="str">
        <f t="shared" si="3"/>
        <v>Fac/Agncy/Orgn/Inst</v>
      </c>
      <c r="G17" t="str">
        <f t="shared" si="5"/>
        <v>Active/Open</v>
      </c>
      <c r="H17" t="str">
        <f t="shared" si="2"/>
        <v>3R-Psychiatric Unit</v>
      </c>
      <c r="I17" t="str">
        <f>"KING"</f>
        <v>KING</v>
      </c>
      <c r="J17" t="str">
        <f t="shared" si="6"/>
        <v>Washington</v>
      </c>
      <c r="K17" t="str">
        <f>"20"</f>
        <v>20</v>
      </c>
    </row>
    <row r="18" spans="1:11" x14ac:dyDescent="0.35">
      <c r="A18" t="str">
        <f>"1003209"</f>
        <v>1003209</v>
      </c>
      <c r="B18" t="str">
        <f>"PEACEHEALTH SOUTHWEST MEDICAL CENTER"</f>
        <v>PEACEHEALTH SOUTHWEST MEDICAL CENTER</v>
      </c>
      <c r="C18" t="str">
        <f>"1134178999"</f>
        <v>1134178999</v>
      </c>
      <c r="D18" t="str">
        <f>"01/01/1966"</f>
        <v>01/01/1966</v>
      </c>
      <c r="E18" t="str">
        <f t="shared" si="0"/>
        <v>12/31/2999</v>
      </c>
      <c r="F18" t="str">
        <f t="shared" si="3"/>
        <v>Fac/Agncy/Orgn/Inst</v>
      </c>
      <c r="G18" t="str">
        <f t="shared" si="5"/>
        <v>Active/Open</v>
      </c>
      <c r="H18" t="str">
        <f t="shared" si="2"/>
        <v>3R-Psychiatric Unit</v>
      </c>
      <c r="I18" t="str">
        <f>"CLARK"</f>
        <v>CLARK</v>
      </c>
      <c r="J18" t="str">
        <f t="shared" si="6"/>
        <v>Washington</v>
      </c>
      <c r="K18" t="str">
        <f>"21"</f>
        <v>21</v>
      </c>
    </row>
    <row r="19" spans="1:11" x14ac:dyDescent="0.35">
      <c r="A19" t="str">
        <f>"1001277"</f>
        <v>1001277</v>
      </c>
      <c r="B19" t="str">
        <f>"Harborview Medical Center"</f>
        <v>Harborview Medical Center</v>
      </c>
      <c r="C19" t="str">
        <f>"1053359729"</f>
        <v>1053359729</v>
      </c>
      <c r="D19" t="str">
        <f>"03/23/1988"</f>
        <v>03/23/1988</v>
      </c>
      <c r="E19" t="str">
        <f t="shared" si="0"/>
        <v>12/31/2999</v>
      </c>
      <c r="F19" t="str">
        <f t="shared" si="3"/>
        <v>Fac/Agncy/Orgn/Inst</v>
      </c>
      <c r="G19" t="str">
        <f t="shared" si="5"/>
        <v>Active/Open</v>
      </c>
      <c r="H19" t="str">
        <f t="shared" si="2"/>
        <v>3R-Psychiatric Unit</v>
      </c>
      <c r="I19" t="str">
        <f>"KING"</f>
        <v>KING</v>
      </c>
      <c r="J19" t="str">
        <f t="shared" si="6"/>
        <v>Washington</v>
      </c>
      <c r="K19" t="str">
        <f>"22"</f>
        <v>22</v>
      </c>
    </row>
    <row r="20" spans="1:11" x14ac:dyDescent="0.35">
      <c r="A20" t="str">
        <f>"1000744"</f>
        <v>1000744</v>
      </c>
      <c r="B20" t="str">
        <f>"SWEDISH EDMONDS"</f>
        <v>SWEDISH EDMONDS</v>
      </c>
      <c r="C20" t="str">
        <f>"1033107214"</f>
        <v>1033107214</v>
      </c>
      <c r="D20" t="str">
        <f>"01/01/1966"</f>
        <v>01/01/1966</v>
      </c>
      <c r="E20" t="str">
        <f t="shared" si="0"/>
        <v>12/31/2999</v>
      </c>
      <c r="F20" t="str">
        <f t="shared" si="3"/>
        <v>Fac/Agncy/Orgn/Inst</v>
      </c>
      <c r="G20" t="str">
        <f t="shared" si="5"/>
        <v>Active/Open</v>
      </c>
      <c r="H20" t="str">
        <f t="shared" si="2"/>
        <v>3R-Psychiatric Unit</v>
      </c>
      <c r="I20" t="str">
        <f>"SNOHOMISH"</f>
        <v>SNOHOMISH</v>
      </c>
      <c r="J20" t="str">
        <f>"WASHINGTON"</f>
        <v>WASHINGTON</v>
      </c>
      <c r="K20" t="str">
        <f>"23"</f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6" sqref="C6"/>
    </sheetView>
  </sheetViews>
  <sheetFormatPr defaultRowHeight="14.5" x14ac:dyDescent="0.35"/>
  <cols>
    <col min="1" max="1" width="11.453125" customWidth="1"/>
    <col min="2" max="2" width="30.26953125" customWidth="1"/>
    <col min="3" max="3" width="15.26953125" customWidth="1"/>
    <col min="4" max="4" width="15.453125" customWidth="1"/>
    <col min="5" max="5" width="13.453125" customWidth="1"/>
    <col min="8" max="8" width="13.1796875" customWidth="1"/>
    <col min="9" max="9" width="18.453125" customWidth="1"/>
  </cols>
  <sheetData>
    <row r="1" spans="1:11" x14ac:dyDescent="0.35">
      <c r="A1" t="s">
        <v>289</v>
      </c>
      <c r="B1" t="s">
        <v>290</v>
      </c>
      <c r="C1" t="s">
        <v>291</v>
      </c>
      <c r="D1" t="s">
        <v>292</v>
      </c>
      <c r="E1" t="s">
        <v>293</v>
      </c>
      <c r="F1" t="s">
        <v>294</v>
      </c>
      <c r="G1" t="s">
        <v>295</v>
      </c>
      <c r="H1" t="s">
        <v>296</v>
      </c>
      <c r="I1" t="s">
        <v>297</v>
      </c>
      <c r="J1" t="s">
        <v>298</v>
      </c>
      <c r="K1" t="s">
        <v>299</v>
      </c>
    </row>
    <row r="2" spans="1:11" x14ac:dyDescent="0.35">
      <c r="A2">
        <v>2037700</v>
      </c>
      <c r="B2" t="s">
        <v>304</v>
      </c>
      <c r="C2">
        <v>1124456967</v>
      </c>
      <c r="D2" s="1">
        <v>41696</v>
      </c>
      <c r="E2" s="1">
        <v>401768</v>
      </c>
      <c r="F2" t="s">
        <v>300</v>
      </c>
      <c r="G2" t="s">
        <v>301</v>
      </c>
      <c r="H2" t="s">
        <v>305</v>
      </c>
      <c r="I2" t="s">
        <v>303</v>
      </c>
      <c r="J2" t="s">
        <v>17</v>
      </c>
      <c r="K2">
        <v>1</v>
      </c>
    </row>
    <row r="3" spans="1:11" x14ac:dyDescent="0.35">
      <c r="A3">
        <v>1042655</v>
      </c>
      <c r="B3" t="s">
        <v>306</v>
      </c>
      <c r="C3">
        <v>1053327890</v>
      </c>
      <c r="D3" s="1">
        <v>29037</v>
      </c>
      <c r="E3" s="1">
        <v>401768</v>
      </c>
      <c r="F3" t="s">
        <v>300</v>
      </c>
      <c r="G3" t="s">
        <v>301</v>
      </c>
      <c r="H3" t="s">
        <v>305</v>
      </c>
      <c r="I3" t="s">
        <v>302</v>
      </c>
      <c r="J3" t="s">
        <v>17</v>
      </c>
      <c r="K3">
        <v>2</v>
      </c>
    </row>
    <row r="4" spans="1:11" x14ac:dyDescent="0.35">
      <c r="A4">
        <v>1013064</v>
      </c>
      <c r="B4" t="s">
        <v>307</v>
      </c>
      <c r="C4">
        <v>1548342181</v>
      </c>
      <c r="D4" s="1">
        <v>34417</v>
      </c>
      <c r="E4" s="1">
        <v>401768</v>
      </c>
      <c r="F4" t="s">
        <v>300</v>
      </c>
      <c r="G4" t="s">
        <v>301</v>
      </c>
      <c r="H4" t="s">
        <v>305</v>
      </c>
      <c r="I4" t="s">
        <v>302</v>
      </c>
      <c r="J4" t="s">
        <v>92</v>
      </c>
      <c r="K4">
        <v>3</v>
      </c>
    </row>
    <row r="5" spans="1:11" x14ac:dyDescent="0.35">
      <c r="A5">
        <v>1004428</v>
      </c>
      <c r="B5" t="s">
        <v>308</v>
      </c>
      <c r="C5">
        <v>1184764227</v>
      </c>
      <c r="D5" s="1">
        <v>35667</v>
      </c>
      <c r="E5" s="1">
        <v>401768</v>
      </c>
      <c r="F5" t="s">
        <v>300</v>
      </c>
      <c r="G5" t="s">
        <v>301</v>
      </c>
      <c r="H5" t="s">
        <v>305</v>
      </c>
      <c r="I5" t="s">
        <v>302</v>
      </c>
      <c r="J5" t="s">
        <v>17</v>
      </c>
      <c r="K5">
        <v>4</v>
      </c>
    </row>
    <row r="6" spans="1:11" x14ac:dyDescent="0.35">
      <c r="A6">
        <v>1002932</v>
      </c>
      <c r="B6" t="s">
        <v>309</v>
      </c>
      <c r="C6">
        <v>1124034699</v>
      </c>
      <c r="D6" s="1">
        <v>33970</v>
      </c>
      <c r="E6" s="1">
        <v>401768</v>
      </c>
      <c r="F6" t="s">
        <v>300</v>
      </c>
      <c r="G6" t="s">
        <v>301</v>
      </c>
      <c r="H6" t="s">
        <v>305</v>
      </c>
      <c r="I6" t="s">
        <v>302</v>
      </c>
      <c r="J6" t="s">
        <v>17</v>
      </c>
      <c r="K6">
        <v>5</v>
      </c>
    </row>
    <row r="7" spans="1:11" x14ac:dyDescent="0.35">
      <c r="A7">
        <v>2088538</v>
      </c>
      <c r="B7" t="s">
        <v>476</v>
      </c>
      <c r="C7">
        <v>1679020150</v>
      </c>
      <c r="D7" s="1">
        <v>42898</v>
      </c>
      <c r="E7" s="1">
        <v>401768</v>
      </c>
      <c r="F7" t="s">
        <v>300</v>
      </c>
      <c r="G7" t="s">
        <v>301</v>
      </c>
      <c r="H7" t="s">
        <v>305</v>
      </c>
      <c r="I7" t="s">
        <v>303</v>
      </c>
      <c r="J7" t="s">
        <v>17</v>
      </c>
      <c r="K7"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9" workbookViewId="0">
      <selection activeCell="K8" sqref="K8"/>
    </sheetView>
  </sheetViews>
  <sheetFormatPr defaultRowHeight="14.5" x14ac:dyDescent="0.35"/>
  <cols>
    <col min="1" max="1" width="7.453125" customWidth="1"/>
    <col min="2" max="2" width="43.54296875" customWidth="1"/>
    <col min="3" max="3" width="18.54296875" customWidth="1"/>
    <col min="4" max="4" width="32.453125" customWidth="1"/>
    <col min="5" max="5" width="27.7265625" customWidth="1"/>
    <col min="6" max="6" width="14.26953125" customWidth="1"/>
    <col min="7" max="7" width="13" customWidth="1"/>
  </cols>
  <sheetData>
    <row r="1" spans="1:9" x14ac:dyDescent="0.35">
      <c r="A1" s="2" t="s">
        <v>310</v>
      </c>
      <c r="B1" s="2" t="s">
        <v>0</v>
      </c>
      <c r="C1" s="2" t="s">
        <v>1</v>
      </c>
      <c r="D1" s="3" t="s">
        <v>311</v>
      </c>
      <c r="E1" s="2" t="s">
        <v>312</v>
      </c>
      <c r="F1" s="2" t="s">
        <v>313</v>
      </c>
      <c r="G1" s="2" t="s">
        <v>314</v>
      </c>
      <c r="H1" s="2" t="s">
        <v>315</v>
      </c>
      <c r="I1" s="2" t="s">
        <v>316</v>
      </c>
    </row>
    <row r="2" spans="1:9" x14ac:dyDescent="0.35">
      <c r="A2" s="4">
        <v>21661</v>
      </c>
      <c r="B2" s="4" t="s">
        <v>5</v>
      </c>
      <c r="C2" s="4">
        <v>1962406389</v>
      </c>
      <c r="D2" s="5" t="s">
        <v>317</v>
      </c>
      <c r="E2" s="4"/>
      <c r="F2" s="4" t="s">
        <v>6</v>
      </c>
      <c r="G2" s="4" t="s">
        <v>7</v>
      </c>
      <c r="H2" s="4" t="s">
        <v>303</v>
      </c>
      <c r="I2" s="4" t="s">
        <v>318</v>
      </c>
    </row>
    <row r="3" spans="1:9" x14ac:dyDescent="0.35">
      <c r="A3" s="4">
        <v>13430</v>
      </c>
      <c r="B3" s="4" t="s">
        <v>9</v>
      </c>
      <c r="C3" s="4">
        <v>1306883228</v>
      </c>
      <c r="D3" s="5" t="s">
        <v>10</v>
      </c>
      <c r="E3" s="4" t="s">
        <v>11</v>
      </c>
      <c r="F3" s="4" t="s">
        <v>12</v>
      </c>
      <c r="G3" s="4" t="s">
        <v>7</v>
      </c>
      <c r="H3" s="4" t="s">
        <v>303</v>
      </c>
      <c r="I3" s="4" t="s">
        <v>319</v>
      </c>
    </row>
    <row r="4" spans="1:9" x14ac:dyDescent="0.35">
      <c r="A4" s="4">
        <v>64556</v>
      </c>
      <c r="B4" s="4" t="s">
        <v>13</v>
      </c>
      <c r="C4" s="4">
        <v>1578568853</v>
      </c>
      <c r="D4" s="5" t="s">
        <v>14</v>
      </c>
      <c r="E4" s="4" t="s">
        <v>15</v>
      </c>
      <c r="F4" s="4" t="s">
        <v>7</v>
      </c>
      <c r="G4" s="4" t="s">
        <v>7</v>
      </c>
      <c r="H4" s="4" t="s">
        <v>303</v>
      </c>
      <c r="I4" s="4" t="s">
        <v>320</v>
      </c>
    </row>
    <row r="5" spans="1:9" x14ac:dyDescent="0.35">
      <c r="A5" s="4">
        <v>13046</v>
      </c>
      <c r="B5" s="4" t="s">
        <v>321</v>
      </c>
      <c r="C5" s="4">
        <v>1891879680</v>
      </c>
      <c r="D5" s="5" t="s">
        <v>18</v>
      </c>
      <c r="E5" s="4" t="s">
        <v>19</v>
      </c>
      <c r="F5" s="4" t="s">
        <v>20</v>
      </c>
      <c r="G5" s="4" t="s">
        <v>21</v>
      </c>
      <c r="H5" s="4" t="s">
        <v>303</v>
      </c>
      <c r="I5" s="4" t="s">
        <v>322</v>
      </c>
    </row>
    <row r="6" spans="1:9" x14ac:dyDescent="0.35">
      <c r="A6" s="4">
        <v>13921</v>
      </c>
      <c r="B6" s="4" t="s">
        <v>41</v>
      </c>
      <c r="C6" s="4">
        <v>1306845557</v>
      </c>
      <c r="D6" s="5" t="s">
        <v>42</v>
      </c>
      <c r="E6" s="4" t="s">
        <v>43</v>
      </c>
      <c r="F6" s="4" t="s">
        <v>44</v>
      </c>
      <c r="G6" s="4" t="s">
        <v>21</v>
      </c>
      <c r="H6" s="4" t="s">
        <v>303</v>
      </c>
      <c r="I6" s="4" t="s">
        <v>323</v>
      </c>
    </row>
    <row r="7" spans="1:9" x14ac:dyDescent="0.35">
      <c r="A7" s="4">
        <v>13384</v>
      </c>
      <c r="B7" s="4" t="s">
        <v>22</v>
      </c>
      <c r="C7" s="4">
        <v>1841258639</v>
      </c>
      <c r="D7" s="5" t="s">
        <v>23</v>
      </c>
      <c r="E7" s="4" t="s">
        <v>24</v>
      </c>
      <c r="F7" s="4" t="s">
        <v>25</v>
      </c>
      <c r="G7" s="4" t="s">
        <v>26</v>
      </c>
      <c r="H7" s="4" t="s">
        <v>303</v>
      </c>
      <c r="I7" s="4" t="s">
        <v>324</v>
      </c>
    </row>
    <row r="8" spans="1:9" x14ac:dyDescent="0.35">
      <c r="A8" s="4">
        <v>13058</v>
      </c>
      <c r="B8" s="4" t="s">
        <v>27</v>
      </c>
      <c r="C8" s="4">
        <v>1134128911</v>
      </c>
      <c r="D8" s="5" t="s">
        <v>28</v>
      </c>
      <c r="E8" s="4" t="s">
        <v>29</v>
      </c>
      <c r="F8" s="4" t="s">
        <v>30</v>
      </c>
      <c r="G8" s="4" t="s">
        <v>31</v>
      </c>
      <c r="H8" s="4" t="s">
        <v>303</v>
      </c>
      <c r="I8" s="4" t="s">
        <v>325</v>
      </c>
    </row>
    <row r="9" spans="1:9" x14ac:dyDescent="0.35">
      <c r="A9" s="4">
        <v>13022</v>
      </c>
      <c r="B9" s="4" t="s">
        <v>34</v>
      </c>
      <c r="C9" s="4">
        <v>1184844185</v>
      </c>
      <c r="D9" s="5" t="s">
        <v>35</v>
      </c>
      <c r="E9" s="4" t="s">
        <v>36</v>
      </c>
      <c r="F9" s="4" t="s">
        <v>37</v>
      </c>
      <c r="G9" s="4" t="s">
        <v>3</v>
      </c>
      <c r="H9" s="4" t="s">
        <v>303</v>
      </c>
      <c r="I9" s="4" t="s">
        <v>326</v>
      </c>
    </row>
    <row r="10" spans="1:9" x14ac:dyDescent="0.35">
      <c r="A10" s="4">
        <v>64603</v>
      </c>
      <c r="B10" s="4" t="s">
        <v>45</v>
      </c>
      <c r="C10" s="4">
        <v>1356528269</v>
      </c>
      <c r="D10" s="5" t="s">
        <v>46</v>
      </c>
      <c r="E10" s="4" t="s">
        <v>47</v>
      </c>
      <c r="F10" s="4" t="s">
        <v>48</v>
      </c>
      <c r="G10" s="4" t="s">
        <v>48</v>
      </c>
      <c r="H10" s="4" t="s">
        <v>303</v>
      </c>
      <c r="I10" s="4" t="s">
        <v>327</v>
      </c>
    </row>
    <row r="11" spans="1:9" x14ac:dyDescent="0.35">
      <c r="A11" s="4">
        <v>13520</v>
      </c>
      <c r="B11" s="4" t="s">
        <v>51</v>
      </c>
      <c r="C11" s="4">
        <v>1992729461</v>
      </c>
      <c r="D11" s="5" t="s">
        <v>52</v>
      </c>
      <c r="E11" s="4" t="s">
        <v>53</v>
      </c>
      <c r="F11" s="4" t="s">
        <v>54</v>
      </c>
      <c r="G11" s="4" t="s">
        <v>55</v>
      </c>
      <c r="H11" s="4" t="s">
        <v>303</v>
      </c>
      <c r="I11" s="4" t="s">
        <v>328</v>
      </c>
    </row>
    <row r="12" spans="1:9" x14ac:dyDescent="0.35">
      <c r="A12" s="4">
        <v>13797</v>
      </c>
      <c r="B12" s="4" t="s">
        <v>59</v>
      </c>
      <c r="C12" s="4">
        <v>1508899816</v>
      </c>
      <c r="D12" s="5" t="s">
        <v>60</v>
      </c>
      <c r="E12" s="4" t="s">
        <v>56</v>
      </c>
      <c r="F12" s="4" t="s">
        <v>57</v>
      </c>
      <c r="G12" s="4" t="s">
        <v>58</v>
      </c>
      <c r="H12" s="4" t="s">
        <v>303</v>
      </c>
      <c r="I12" s="4" t="s">
        <v>329</v>
      </c>
    </row>
    <row r="13" spans="1:9" x14ac:dyDescent="0.35">
      <c r="A13" s="4">
        <v>13404</v>
      </c>
      <c r="B13" s="4" t="s">
        <v>61</v>
      </c>
      <c r="C13" s="4">
        <v>1255429957</v>
      </c>
      <c r="D13" s="5" t="s">
        <v>330</v>
      </c>
      <c r="E13" s="4"/>
      <c r="F13" s="4" t="s">
        <v>62</v>
      </c>
      <c r="G13" s="4" t="s">
        <v>63</v>
      </c>
      <c r="H13" s="4" t="s">
        <v>303</v>
      </c>
      <c r="I13" s="4" t="s">
        <v>331</v>
      </c>
    </row>
    <row r="14" spans="1:9" x14ac:dyDescent="0.35">
      <c r="A14" s="4">
        <v>83820</v>
      </c>
      <c r="B14" s="4" t="s">
        <v>69</v>
      </c>
      <c r="C14" s="4">
        <v>1841231461</v>
      </c>
      <c r="D14" s="5" t="s">
        <v>70</v>
      </c>
      <c r="E14" s="4"/>
      <c r="F14" s="4" t="s">
        <v>71</v>
      </c>
      <c r="G14" s="4" t="s">
        <v>39</v>
      </c>
      <c r="H14" s="4" t="s">
        <v>303</v>
      </c>
      <c r="I14" s="4" t="s">
        <v>332</v>
      </c>
    </row>
    <row r="15" spans="1:9" x14ac:dyDescent="0.35">
      <c r="A15" s="4">
        <v>13614</v>
      </c>
      <c r="B15" s="4" t="s">
        <v>64</v>
      </c>
      <c r="C15" s="4">
        <v>1164512083</v>
      </c>
      <c r="D15" s="5" t="s">
        <v>65</v>
      </c>
      <c r="E15" s="4" t="s">
        <v>66</v>
      </c>
      <c r="F15" s="4" t="s">
        <v>67</v>
      </c>
      <c r="G15" s="4" t="s">
        <v>3</v>
      </c>
      <c r="H15" s="4" t="s">
        <v>303</v>
      </c>
      <c r="I15" s="4" t="s">
        <v>333</v>
      </c>
    </row>
    <row r="16" spans="1:9" x14ac:dyDescent="0.35">
      <c r="A16" s="4">
        <v>13052</v>
      </c>
      <c r="B16" s="4" t="s">
        <v>72</v>
      </c>
      <c r="C16" s="4">
        <v>1811979610</v>
      </c>
      <c r="D16" s="5" t="s">
        <v>52</v>
      </c>
      <c r="E16" s="4" t="s">
        <v>73</v>
      </c>
      <c r="F16" s="4" t="s">
        <v>74</v>
      </c>
      <c r="G16" s="4" t="s">
        <v>3</v>
      </c>
      <c r="H16" s="4" t="s">
        <v>303</v>
      </c>
      <c r="I16" s="4" t="s">
        <v>334</v>
      </c>
    </row>
    <row r="17" spans="1:9" x14ac:dyDescent="0.35">
      <c r="A17" s="4">
        <v>13585</v>
      </c>
      <c r="B17" s="4" t="s">
        <v>75</v>
      </c>
      <c r="C17" s="4">
        <v>1154378859</v>
      </c>
      <c r="D17" s="5" t="s">
        <v>23</v>
      </c>
      <c r="E17" s="4" t="s">
        <v>76</v>
      </c>
      <c r="F17" s="4" t="s">
        <v>77</v>
      </c>
      <c r="G17" s="4" t="s">
        <v>78</v>
      </c>
      <c r="H17" s="4" t="s">
        <v>303</v>
      </c>
      <c r="I17" s="4" t="s">
        <v>335</v>
      </c>
    </row>
    <row r="18" spans="1:9" x14ac:dyDescent="0.35">
      <c r="A18" s="4">
        <v>28054</v>
      </c>
      <c r="B18" s="4" t="s">
        <v>68</v>
      </c>
      <c r="C18" s="4">
        <v>1861522088</v>
      </c>
      <c r="D18" s="5" t="s">
        <v>336</v>
      </c>
      <c r="E18" s="4"/>
      <c r="F18" s="4" t="s">
        <v>16</v>
      </c>
      <c r="G18" s="4" t="s">
        <v>17</v>
      </c>
      <c r="H18" s="4" t="s">
        <v>303</v>
      </c>
      <c r="I18" s="4" t="s">
        <v>337</v>
      </c>
    </row>
    <row r="19" spans="1:9" x14ac:dyDescent="0.35">
      <c r="A19" s="4">
        <v>13569</v>
      </c>
      <c r="B19" s="4" t="s">
        <v>79</v>
      </c>
      <c r="C19" s="4">
        <v>1518912609</v>
      </c>
      <c r="D19" s="5" t="s">
        <v>23</v>
      </c>
      <c r="E19" s="4" t="s">
        <v>80</v>
      </c>
      <c r="F19" s="4" t="s">
        <v>81</v>
      </c>
      <c r="G19" s="4" t="s">
        <v>82</v>
      </c>
      <c r="H19" s="4" t="s">
        <v>303</v>
      </c>
      <c r="I19" s="4" t="s">
        <v>338</v>
      </c>
    </row>
    <row r="20" spans="1:9" x14ac:dyDescent="0.35">
      <c r="A20" s="4">
        <v>13753</v>
      </c>
      <c r="B20" s="4" t="s">
        <v>83</v>
      </c>
      <c r="C20" s="4">
        <v>1558333682</v>
      </c>
      <c r="D20" s="5" t="s">
        <v>339</v>
      </c>
      <c r="E20" s="4"/>
      <c r="F20" s="4" t="s">
        <v>84</v>
      </c>
      <c r="G20" s="4" t="s">
        <v>17</v>
      </c>
      <c r="H20" s="4" t="s">
        <v>303</v>
      </c>
      <c r="I20" s="4" t="s">
        <v>340</v>
      </c>
    </row>
    <row r="21" spans="1:9" x14ac:dyDescent="0.35">
      <c r="A21" s="4">
        <v>13681</v>
      </c>
      <c r="B21" s="4" t="s">
        <v>86</v>
      </c>
      <c r="C21" s="4">
        <v>1356492953</v>
      </c>
      <c r="D21" s="5" t="s">
        <v>341</v>
      </c>
      <c r="E21" s="4"/>
      <c r="F21" s="4" t="s">
        <v>87</v>
      </c>
      <c r="G21" s="4" t="s">
        <v>88</v>
      </c>
      <c r="H21" s="4" t="s">
        <v>303</v>
      </c>
      <c r="I21" s="4" t="s">
        <v>342</v>
      </c>
    </row>
    <row r="22" spans="1:9" x14ac:dyDescent="0.35">
      <c r="A22" s="4">
        <v>13893</v>
      </c>
      <c r="B22" s="4" t="s">
        <v>110</v>
      </c>
      <c r="C22" s="4">
        <v>1972507580</v>
      </c>
      <c r="D22" s="5" t="s">
        <v>10</v>
      </c>
      <c r="E22" s="4" t="s">
        <v>111</v>
      </c>
      <c r="F22" s="4" t="s">
        <v>112</v>
      </c>
      <c r="G22" s="4" t="s">
        <v>92</v>
      </c>
      <c r="H22" s="4" t="s">
        <v>303</v>
      </c>
      <c r="I22" s="4" t="s">
        <v>343</v>
      </c>
    </row>
    <row r="23" spans="1:9" x14ac:dyDescent="0.35">
      <c r="A23" s="4">
        <v>13054</v>
      </c>
      <c r="B23" s="4" t="s">
        <v>89</v>
      </c>
      <c r="C23" s="4">
        <v>1255367611</v>
      </c>
      <c r="D23" s="5" t="s">
        <v>10</v>
      </c>
      <c r="E23" s="4" t="s">
        <v>90</v>
      </c>
      <c r="F23" s="4" t="s">
        <v>91</v>
      </c>
      <c r="G23" s="4" t="s">
        <v>92</v>
      </c>
      <c r="H23" s="4" t="s">
        <v>303</v>
      </c>
      <c r="I23" s="4" t="s">
        <v>344</v>
      </c>
    </row>
    <row r="24" spans="1:9" x14ac:dyDescent="0.35">
      <c r="A24" s="4">
        <v>13502</v>
      </c>
      <c r="B24" s="4" t="s">
        <v>93</v>
      </c>
      <c r="C24" s="4">
        <v>1902846546</v>
      </c>
      <c r="D24" s="5" t="s">
        <v>94</v>
      </c>
      <c r="E24" s="4" t="s">
        <v>96</v>
      </c>
      <c r="F24" s="4" t="s">
        <v>95</v>
      </c>
      <c r="G24" s="4" t="s">
        <v>17</v>
      </c>
      <c r="H24" s="4" t="s">
        <v>303</v>
      </c>
      <c r="I24" s="4" t="s">
        <v>345</v>
      </c>
    </row>
    <row r="25" spans="1:9" x14ac:dyDescent="0.35">
      <c r="A25" s="4">
        <v>13512</v>
      </c>
      <c r="B25" s="4" t="s">
        <v>97</v>
      </c>
      <c r="C25" s="4">
        <v>1356375307</v>
      </c>
      <c r="D25" s="5" t="s">
        <v>60</v>
      </c>
      <c r="E25" s="4" t="s">
        <v>98</v>
      </c>
      <c r="F25" s="4" t="s">
        <v>99</v>
      </c>
      <c r="G25" s="4" t="s">
        <v>100</v>
      </c>
      <c r="H25" s="4" t="s">
        <v>303</v>
      </c>
      <c r="I25" s="4" t="s">
        <v>346</v>
      </c>
    </row>
    <row r="26" spans="1:9" x14ac:dyDescent="0.35">
      <c r="A26" s="4">
        <v>13877</v>
      </c>
      <c r="B26" s="4" t="s">
        <v>101</v>
      </c>
      <c r="C26" s="4">
        <v>1760455687</v>
      </c>
      <c r="D26" s="5" t="s">
        <v>102</v>
      </c>
      <c r="E26" s="4" t="s">
        <v>103</v>
      </c>
      <c r="F26" s="4" t="s">
        <v>104</v>
      </c>
      <c r="G26" s="4" t="s">
        <v>105</v>
      </c>
      <c r="H26" s="4" t="s">
        <v>303</v>
      </c>
      <c r="I26" s="4" t="s">
        <v>347</v>
      </c>
    </row>
    <row r="27" spans="1:9" x14ac:dyDescent="0.35">
      <c r="A27" s="4">
        <v>13885</v>
      </c>
      <c r="B27" s="4" t="s">
        <v>106</v>
      </c>
      <c r="C27" s="4">
        <v>1386689487</v>
      </c>
      <c r="D27" s="5" t="s">
        <v>107</v>
      </c>
      <c r="E27" s="4" t="s">
        <v>108</v>
      </c>
      <c r="F27" s="4" t="s">
        <v>109</v>
      </c>
      <c r="G27" s="4" t="s">
        <v>105</v>
      </c>
      <c r="H27" s="4" t="s">
        <v>303</v>
      </c>
      <c r="I27" s="4" t="s">
        <v>348</v>
      </c>
    </row>
    <row r="28" spans="1:9" x14ac:dyDescent="0.35">
      <c r="A28" s="4">
        <v>13010</v>
      </c>
      <c r="B28" s="4" t="s">
        <v>113</v>
      </c>
      <c r="C28" s="4">
        <v>1700809829</v>
      </c>
      <c r="D28" s="5" t="s">
        <v>23</v>
      </c>
      <c r="E28" s="4" t="s">
        <v>114</v>
      </c>
      <c r="F28" s="4" t="s">
        <v>115</v>
      </c>
      <c r="G28" s="4" t="s">
        <v>116</v>
      </c>
      <c r="H28" s="4" t="s">
        <v>303</v>
      </c>
      <c r="I28" s="4" t="s">
        <v>349</v>
      </c>
    </row>
    <row r="29" spans="1:9" x14ac:dyDescent="0.35">
      <c r="A29" s="4">
        <v>13449</v>
      </c>
      <c r="B29" s="4" t="s">
        <v>117</v>
      </c>
      <c r="C29" s="4">
        <v>1154361814</v>
      </c>
      <c r="D29" s="5" t="s">
        <v>118</v>
      </c>
      <c r="E29" s="4" t="s">
        <v>119</v>
      </c>
      <c r="F29" s="4" t="s">
        <v>120</v>
      </c>
      <c r="G29" s="4" t="s">
        <v>121</v>
      </c>
      <c r="H29" s="4" t="s">
        <v>303</v>
      </c>
      <c r="I29" s="4" t="s">
        <v>350</v>
      </c>
    </row>
    <row r="30" spans="1:9" x14ac:dyDescent="0.35">
      <c r="A30" s="4">
        <v>13624</v>
      </c>
      <c r="B30" s="4" t="s">
        <v>122</v>
      </c>
      <c r="C30" s="4">
        <v>1841234598</v>
      </c>
      <c r="D30" s="5" t="s">
        <v>351</v>
      </c>
      <c r="E30" s="4"/>
      <c r="F30" s="4" t="s">
        <v>123</v>
      </c>
      <c r="G30" s="4" t="s">
        <v>124</v>
      </c>
      <c r="H30" s="4" t="s">
        <v>303</v>
      </c>
      <c r="I30" s="4" t="s">
        <v>352</v>
      </c>
    </row>
    <row r="31" spans="1:9" x14ac:dyDescent="0.35">
      <c r="A31" s="4">
        <v>13334</v>
      </c>
      <c r="B31" s="4" t="s">
        <v>125</v>
      </c>
      <c r="C31" s="4">
        <v>1073524690</v>
      </c>
      <c r="D31" s="5" t="s">
        <v>126</v>
      </c>
      <c r="E31" s="4" t="s">
        <v>127</v>
      </c>
      <c r="F31" s="4" t="s">
        <v>128</v>
      </c>
      <c r="G31" s="4" t="s">
        <v>124</v>
      </c>
      <c r="H31" s="4" t="s">
        <v>303</v>
      </c>
      <c r="I31" s="4" t="s">
        <v>353</v>
      </c>
    </row>
    <row r="32" spans="1:9" x14ac:dyDescent="0.35">
      <c r="A32" s="4">
        <v>13678</v>
      </c>
      <c r="B32" s="4" t="s">
        <v>129</v>
      </c>
      <c r="C32" s="4">
        <v>1558398230</v>
      </c>
      <c r="D32" s="5" t="s">
        <v>130</v>
      </c>
      <c r="E32" s="4" t="s">
        <v>131</v>
      </c>
      <c r="F32" s="4" t="s">
        <v>132</v>
      </c>
      <c r="G32" s="4" t="s">
        <v>133</v>
      </c>
      <c r="H32" s="4" t="s">
        <v>303</v>
      </c>
      <c r="I32" s="4" t="s">
        <v>354</v>
      </c>
    </row>
    <row r="33" spans="1:9" x14ac:dyDescent="0.35">
      <c r="A33" s="4">
        <v>97983</v>
      </c>
      <c r="B33" s="4" t="s">
        <v>141</v>
      </c>
      <c r="C33" s="4">
        <v>1255327201</v>
      </c>
      <c r="D33" s="5" t="s">
        <v>142</v>
      </c>
      <c r="E33" s="4"/>
      <c r="F33" s="4" t="s">
        <v>143</v>
      </c>
      <c r="G33" s="4" t="s">
        <v>17</v>
      </c>
      <c r="H33" s="4" t="s">
        <v>303</v>
      </c>
      <c r="I33" s="4" t="s">
        <v>355</v>
      </c>
    </row>
    <row r="34" spans="1:9" x14ac:dyDescent="0.35">
      <c r="A34" s="4">
        <v>26322</v>
      </c>
      <c r="B34" s="6" t="s">
        <v>134</v>
      </c>
      <c r="C34" s="4">
        <v>1831313253</v>
      </c>
      <c r="D34" s="5" t="s">
        <v>139</v>
      </c>
      <c r="E34" s="4" t="s">
        <v>140</v>
      </c>
      <c r="F34" s="4" t="s">
        <v>38</v>
      </c>
      <c r="G34" s="4" t="s">
        <v>39</v>
      </c>
      <c r="H34" s="4" t="s">
        <v>303</v>
      </c>
      <c r="I34" s="4" t="s">
        <v>356</v>
      </c>
    </row>
    <row r="35" spans="1:9" x14ac:dyDescent="0.35">
      <c r="A35" s="4">
        <v>13268</v>
      </c>
      <c r="B35" s="4" t="s">
        <v>357</v>
      </c>
      <c r="C35" s="4">
        <v>1306952726</v>
      </c>
      <c r="D35" s="5" t="s">
        <v>135</v>
      </c>
      <c r="E35" s="4" t="s">
        <v>136</v>
      </c>
      <c r="F35" s="4" t="s">
        <v>38</v>
      </c>
      <c r="G35" s="4" t="s">
        <v>39</v>
      </c>
      <c r="H35" s="4" t="s">
        <v>303</v>
      </c>
      <c r="I35" s="4" t="s">
        <v>356</v>
      </c>
    </row>
    <row r="36" spans="1:9" x14ac:dyDescent="0.35">
      <c r="A36" s="4">
        <v>13297</v>
      </c>
      <c r="B36" s="4" t="s">
        <v>358</v>
      </c>
      <c r="C36" s="4">
        <v>1366556227</v>
      </c>
      <c r="D36" s="5" t="s">
        <v>137</v>
      </c>
      <c r="E36" s="4" t="s">
        <v>138</v>
      </c>
      <c r="F36" s="4" t="s">
        <v>38</v>
      </c>
      <c r="G36" s="4" t="s">
        <v>39</v>
      </c>
      <c r="H36" s="4" t="s">
        <v>303</v>
      </c>
      <c r="I36" s="4" t="s">
        <v>359</v>
      </c>
    </row>
    <row r="37" spans="1:9" x14ac:dyDescent="0.35">
      <c r="A37" s="4">
        <v>13476</v>
      </c>
      <c r="B37" s="4" t="s">
        <v>144</v>
      </c>
      <c r="C37" s="4">
        <v>1780778423</v>
      </c>
      <c r="D37" s="5" t="s">
        <v>52</v>
      </c>
      <c r="E37" s="4" t="s">
        <v>145</v>
      </c>
      <c r="F37" s="4" t="s">
        <v>146</v>
      </c>
      <c r="G37" s="4" t="s">
        <v>147</v>
      </c>
      <c r="H37" s="4" t="s">
        <v>303</v>
      </c>
      <c r="I37" s="4" t="s">
        <v>360</v>
      </c>
    </row>
    <row r="38" spans="1:9" x14ac:dyDescent="0.35">
      <c r="A38" s="4">
        <v>13500</v>
      </c>
      <c r="B38" s="4" t="s">
        <v>148</v>
      </c>
      <c r="C38" s="4">
        <v>1700861580</v>
      </c>
      <c r="D38" s="5" t="s">
        <v>23</v>
      </c>
      <c r="E38" s="4" t="s">
        <v>149</v>
      </c>
      <c r="F38" s="4" t="s">
        <v>16</v>
      </c>
      <c r="G38" s="4" t="s">
        <v>17</v>
      </c>
      <c r="H38" s="4" t="s">
        <v>303</v>
      </c>
      <c r="I38" s="4" t="s">
        <v>361</v>
      </c>
    </row>
    <row r="39" spans="1:9" x14ac:dyDescent="0.35">
      <c r="A39" s="4">
        <v>13701</v>
      </c>
      <c r="B39" s="4" t="s">
        <v>150</v>
      </c>
      <c r="C39" s="4">
        <v>1295771376</v>
      </c>
      <c r="D39" s="5" t="s">
        <v>150</v>
      </c>
      <c r="E39" s="4" t="s">
        <v>151</v>
      </c>
      <c r="F39" s="4" t="s">
        <v>152</v>
      </c>
      <c r="G39" s="4" t="s">
        <v>153</v>
      </c>
      <c r="H39" s="4" t="s">
        <v>303</v>
      </c>
      <c r="I39" s="4" t="s">
        <v>362</v>
      </c>
    </row>
    <row r="40" spans="1:9" x14ac:dyDescent="0.35">
      <c r="A40" s="4">
        <v>13375</v>
      </c>
      <c r="B40" s="4" t="s">
        <v>154</v>
      </c>
      <c r="C40" s="4">
        <v>1164580700</v>
      </c>
      <c r="D40" s="5" t="s">
        <v>155</v>
      </c>
      <c r="E40" s="4" t="s">
        <v>156</v>
      </c>
      <c r="F40" s="4" t="s">
        <v>157</v>
      </c>
      <c r="G40" s="4" t="s">
        <v>133</v>
      </c>
      <c r="H40" s="4" t="s">
        <v>303</v>
      </c>
      <c r="I40" s="4" t="s">
        <v>363</v>
      </c>
    </row>
    <row r="41" spans="1:9" x14ac:dyDescent="0.35">
      <c r="A41" s="4">
        <v>13381</v>
      </c>
      <c r="B41" s="4" t="s">
        <v>160</v>
      </c>
      <c r="C41" s="4">
        <v>1811108822</v>
      </c>
      <c r="D41" s="5" t="s">
        <v>52</v>
      </c>
      <c r="E41" s="4" t="s">
        <v>161</v>
      </c>
      <c r="F41" s="4" t="s">
        <v>162</v>
      </c>
      <c r="G41" s="4" t="s">
        <v>55</v>
      </c>
      <c r="H41" s="4" t="s">
        <v>303</v>
      </c>
      <c r="I41" s="4" t="s">
        <v>364</v>
      </c>
    </row>
    <row r="42" spans="1:9" x14ac:dyDescent="0.35">
      <c r="A42" s="4">
        <v>13418</v>
      </c>
      <c r="B42" s="4" t="s">
        <v>163</v>
      </c>
      <c r="C42" s="4">
        <v>1831284280</v>
      </c>
      <c r="D42" s="5" t="s">
        <v>164</v>
      </c>
      <c r="E42" s="4"/>
      <c r="F42" s="4" t="s">
        <v>165</v>
      </c>
      <c r="G42" s="4" t="s">
        <v>166</v>
      </c>
      <c r="H42" s="4" t="s">
        <v>303</v>
      </c>
      <c r="I42" s="4" t="s">
        <v>365</v>
      </c>
    </row>
    <row r="43" spans="1:9" x14ac:dyDescent="0.35">
      <c r="A43" s="4">
        <v>13442</v>
      </c>
      <c r="B43" s="4" t="s">
        <v>167</v>
      </c>
      <c r="C43" s="4">
        <v>1861432726</v>
      </c>
      <c r="D43" s="5" t="s">
        <v>23</v>
      </c>
      <c r="E43" s="4" t="s">
        <v>168</v>
      </c>
      <c r="F43" s="4" t="s">
        <v>169</v>
      </c>
      <c r="G43" s="4" t="s">
        <v>17</v>
      </c>
      <c r="H43" s="4" t="s">
        <v>303</v>
      </c>
      <c r="I43" s="4" t="s">
        <v>366</v>
      </c>
    </row>
    <row r="44" spans="1:9" x14ac:dyDescent="0.35">
      <c r="A44" s="4">
        <v>24890</v>
      </c>
      <c r="B44" s="4" t="s">
        <v>170</v>
      </c>
      <c r="C44" s="4">
        <v>1598971855</v>
      </c>
      <c r="D44" s="5" t="s">
        <v>171</v>
      </c>
      <c r="E44" s="4"/>
      <c r="F44" s="4" t="s">
        <v>169</v>
      </c>
      <c r="G44" s="4" t="s">
        <v>17</v>
      </c>
      <c r="H44" s="4" t="s">
        <v>303</v>
      </c>
      <c r="I44" s="4" t="s">
        <v>366</v>
      </c>
    </row>
    <row r="45" spans="1:9" x14ac:dyDescent="0.35">
      <c r="A45" s="4">
        <v>109182</v>
      </c>
      <c r="B45" s="4" t="s">
        <v>212</v>
      </c>
      <c r="C45" s="4">
        <v>1487917233</v>
      </c>
      <c r="D45" s="5" t="s">
        <v>213</v>
      </c>
      <c r="E45" s="4"/>
      <c r="F45" s="4" t="s">
        <v>172</v>
      </c>
      <c r="G45" s="4" t="s">
        <v>173</v>
      </c>
      <c r="H45" s="4" t="s">
        <v>303</v>
      </c>
      <c r="I45" s="4" t="s">
        <v>367</v>
      </c>
    </row>
    <row r="46" spans="1:9" x14ac:dyDescent="0.35">
      <c r="A46" s="4">
        <v>114322</v>
      </c>
      <c r="B46" s="4" t="s">
        <v>214</v>
      </c>
      <c r="C46" s="4">
        <v>1144664954</v>
      </c>
      <c r="D46" s="5" t="s">
        <v>215</v>
      </c>
      <c r="E46" s="4"/>
      <c r="F46" s="4" t="s">
        <v>216</v>
      </c>
      <c r="G46" s="4" t="s">
        <v>199</v>
      </c>
      <c r="H46" s="4" t="s">
        <v>303</v>
      </c>
      <c r="I46" s="4" t="s">
        <v>368</v>
      </c>
    </row>
    <row r="47" spans="1:9" x14ac:dyDescent="0.35">
      <c r="A47" s="4">
        <v>13821</v>
      </c>
      <c r="B47" s="4" t="s">
        <v>217</v>
      </c>
      <c r="C47" s="4">
        <v>1306897681</v>
      </c>
      <c r="D47" s="5" t="s">
        <v>52</v>
      </c>
      <c r="E47" s="4" t="s">
        <v>218</v>
      </c>
      <c r="F47" s="4" t="s">
        <v>174</v>
      </c>
      <c r="G47" s="4" t="s">
        <v>92</v>
      </c>
      <c r="H47" s="4" t="s">
        <v>303</v>
      </c>
      <c r="I47" s="4" t="s">
        <v>369</v>
      </c>
    </row>
    <row r="48" spans="1:9" x14ac:dyDescent="0.35">
      <c r="A48" s="4">
        <v>13861</v>
      </c>
      <c r="B48" s="4" t="s">
        <v>175</v>
      </c>
      <c r="C48" s="4">
        <v>1376624981</v>
      </c>
      <c r="D48" s="5" t="s">
        <v>176</v>
      </c>
      <c r="E48" s="4"/>
      <c r="F48" s="4" t="s">
        <v>177</v>
      </c>
      <c r="G48" s="4" t="s">
        <v>121</v>
      </c>
      <c r="H48" s="4" t="s">
        <v>303</v>
      </c>
      <c r="I48" s="4" t="s">
        <v>370</v>
      </c>
    </row>
    <row r="49" spans="1:9" x14ac:dyDescent="0.35">
      <c r="A49" s="4">
        <v>68353</v>
      </c>
      <c r="B49" s="4" t="s">
        <v>179</v>
      </c>
      <c r="C49" s="4">
        <v>1225289895</v>
      </c>
      <c r="D49" s="5" t="s">
        <v>371</v>
      </c>
      <c r="E49" s="4"/>
      <c r="F49" s="4" t="s">
        <v>48</v>
      </c>
      <c r="G49" s="4" t="s">
        <v>48</v>
      </c>
      <c r="H49" s="4" t="s">
        <v>303</v>
      </c>
      <c r="I49" s="4" t="s">
        <v>372</v>
      </c>
    </row>
    <row r="50" spans="1:9" x14ac:dyDescent="0.35">
      <c r="A50" s="4">
        <v>68666</v>
      </c>
      <c r="B50" s="4" t="s">
        <v>180</v>
      </c>
      <c r="C50" s="4">
        <v>1003067679</v>
      </c>
      <c r="D50" s="5" t="s">
        <v>373</v>
      </c>
      <c r="E50" s="4"/>
      <c r="F50" s="4" t="s">
        <v>49</v>
      </c>
      <c r="G50" s="4" t="s">
        <v>50</v>
      </c>
      <c r="H50" s="4" t="s">
        <v>303</v>
      </c>
      <c r="I50" s="4" t="s">
        <v>374</v>
      </c>
    </row>
    <row r="51" spans="1:9" x14ac:dyDescent="0.35">
      <c r="A51" s="4">
        <v>67990</v>
      </c>
      <c r="B51" s="4" t="s">
        <v>181</v>
      </c>
      <c r="C51" s="4">
        <v>1700037801</v>
      </c>
      <c r="D51" s="5" t="s">
        <v>375</v>
      </c>
      <c r="E51" s="4"/>
      <c r="F51" s="4" t="s">
        <v>178</v>
      </c>
      <c r="G51" s="4" t="s">
        <v>8</v>
      </c>
      <c r="H51" s="4" t="s">
        <v>303</v>
      </c>
      <c r="I51" s="4" t="s">
        <v>376</v>
      </c>
    </row>
    <row r="52" spans="1:9" x14ac:dyDescent="0.35">
      <c r="A52" s="4">
        <v>67875</v>
      </c>
      <c r="B52" s="4" t="s">
        <v>182</v>
      </c>
      <c r="C52" s="4">
        <v>1750532321</v>
      </c>
      <c r="D52" s="5" t="s">
        <v>183</v>
      </c>
      <c r="E52" s="4"/>
      <c r="F52" s="4" t="s">
        <v>184</v>
      </c>
      <c r="G52" s="4" t="s">
        <v>50</v>
      </c>
      <c r="H52" s="4" t="s">
        <v>303</v>
      </c>
      <c r="I52" s="4" t="s">
        <v>377</v>
      </c>
    </row>
    <row r="53" spans="1:9" x14ac:dyDescent="0.35">
      <c r="A53" s="4">
        <v>67490</v>
      </c>
      <c r="B53" s="4" t="s">
        <v>185</v>
      </c>
      <c r="C53" s="4">
        <v>1386895886</v>
      </c>
      <c r="D53" s="5" t="s">
        <v>378</v>
      </c>
      <c r="E53" s="4"/>
      <c r="F53" s="4" t="s">
        <v>186</v>
      </c>
      <c r="G53" s="4" t="s">
        <v>186</v>
      </c>
      <c r="H53" s="4" t="s">
        <v>303</v>
      </c>
      <c r="I53" s="4" t="s">
        <v>379</v>
      </c>
    </row>
    <row r="54" spans="1:9" x14ac:dyDescent="0.35">
      <c r="A54" s="4">
        <v>13142</v>
      </c>
      <c r="B54" s="4" t="s">
        <v>190</v>
      </c>
      <c r="C54" s="4">
        <v>1760568752</v>
      </c>
      <c r="D54" s="5" t="s">
        <v>191</v>
      </c>
      <c r="E54" s="4" t="s">
        <v>192</v>
      </c>
      <c r="F54" s="4" t="s">
        <v>193</v>
      </c>
      <c r="G54" s="4" t="s">
        <v>194</v>
      </c>
      <c r="H54" s="4" t="s">
        <v>303</v>
      </c>
      <c r="I54" s="4" t="s">
        <v>380</v>
      </c>
    </row>
    <row r="55" spans="1:9" x14ac:dyDescent="0.35">
      <c r="A55" s="4">
        <v>13582</v>
      </c>
      <c r="B55" s="4" t="s">
        <v>195</v>
      </c>
      <c r="C55" s="4">
        <v>1053357244</v>
      </c>
      <c r="D55" s="5" t="s">
        <v>196</v>
      </c>
      <c r="E55" s="4" t="s">
        <v>197</v>
      </c>
      <c r="F55" s="4" t="s">
        <v>198</v>
      </c>
      <c r="G55" s="4" t="s">
        <v>199</v>
      </c>
      <c r="H55" s="4" t="s">
        <v>303</v>
      </c>
      <c r="I55" s="4" t="s">
        <v>381</v>
      </c>
    </row>
    <row r="56" spans="1:9" x14ac:dyDescent="0.35">
      <c r="A56" s="4">
        <v>13817</v>
      </c>
      <c r="B56" s="4" t="s">
        <v>200</v>
      </c>
      <c r="C56" s="4">
        <v>1033174933</v>
      </c>
      <c r="D56" s="5" t="s">
        <v>201</v>
      </c>
      <c r="E56" s="4" t="s">
        <v>202</v>
      </c>
      <c r="F56" s="4" t="s">
        <v>203</v>
      </c>
      <c r="G56" s="4" t="s">
        <v>17</v>
      </c>
      <c r="H56" s="4" t="s">
        <v>303</v>
      </c>
      <c r="I56" s="4" t="s">
        <v>382</v>
      </c>
    </row>
    <row r="57" spans="1:9" x14ac:dyDescent="0.35">
      <c r="A57" s="4">
        <v>13340</v>
      </c>
      <c r="B57" s="4" t="s">
        <v>204</v>
      </c>
      <c r="C57" s="4">
        <v>1649209230</v>
      </c>
      <c r="D57" s="5" t="s">
        <v>207</v>
      </c>
      <c r="E57" s="4" t="s">
        <v>206</v>
      </c>
      <c r="F57" s="4" t="s">
        <v>205</v>
      </c>
      <c r="G57" s="4" t="s">
        <v>17</v>
      </c>
      <c r="H57" s="4" t="s">
        <v>383</v>
      </c>
      <c r="I57" s="4" t="s">
        <v>384</v>
      </c>
    </row>
    <row r="58" spans="1:9" x14ac:dyDescent="0.35">
      <c r="A58" s="4">
        <v>13296</v>
      </c>
      <c r="B58" s="4" t="s">
        <v>208</v>
      </c>
      <c r="C58" s="4">
        <v>1366446767</v>
      </c>
      <c r="D58" s="5" t="s">
        <v>208</v>
      </c>
      <c r="E58" s="4" t="s">
        <v>209</v>
      </c>
      <c r="F58" s="4" t="s">
        <v>210</v>
      </c>
      <c r="G58" s="4" t="s">
        <v>211</v>
      </c>
      <c r="H58" s="4" t="s">
        <v>303</v>
      </c>
      <c r="I58" s="4" t="s">
        <v>385</v>
      </c>
    </row>
    <row r="59" spans="1:9" x14ac:dyDescent="0.35">
      <c r="A59" s="4">
        <v>13711</v>
      </c>
      <c r="B59" s="4" t="s">
        <v>219</v>
      </c>
      <c r="C59" s="4">
        <v>1689672693</v>
      </c>
      <c r="D59" s="5" t="s">
        <v>386</v>
      </c>
      <c r="E59" s="4"/>
      <c r="F59" s="4" t="s">
        <v>220</v>
      </c>
      <c r="G59" s="4" t="s">
        <v>39</v>
      </c>
      <c r="H59" s="4" t="s">
        <v>303</v>
      </c>
      <c r="I59" s="4" t="s">
        <v>387</v>
      </c>
    </row>
    <row r="60" spans="1:9" x14ac:dyDescent="0.35">
      <c r="A60" s="4">
        <v>13875</v>
      </c>
      <c r="B60" s="4" t="s">
        <v>221</v>
      </c>
      <c r="C60" s="4">
        <v>1902818883</v>
      </c>
      <c r="D60" s="5" t="s">
        <v>222</v>
      </c>
      <c r="E60" s="4"/>
      <c r="F60" s="4" t="s">
        <v>2</v>
      </c>
      <c r="G60" s="4" t="s">
        <v>3</v>
      </c>
      <c r="H60" s="4" t="s">
        <v>303</v>
      </c>
      <c r="I60" s="4" t="s">
        <v>388</v>
      </c>
    </row>
    <row r="61" spans="1:9" x14ac:dyDescent="0.35">
      <c r="A61" s="4">
        <v>13123</v>
      </c>
      <c r="B61" s="4" t="s">
        <v>223</v>
      </c>
      <c r="C61" s="4">
        <v>1164493847</v>
      </c>
      <c r="D61" s="5" t="s">
        <v>224</v>
      </c>
      <c r="E61" s="4"/>
      <c r="F61" s="4" t="s">
        <v>16</v>
      </c>
      <c r="G61" s="4" t="s">
        <v>17</v>
      </c>
      <c r="H61" s="4" t="s">
        <v>303</v>
      </c>
      <c r="I61" s="4" t="s">
        <v>389</v>
      </c>
    </row>
    <row r="62" spans="1:9" x14ac:dyDescent="0.35">
      <c r="A62" s="4">
        <v>13347</v>
      </c>
      <c r="B62" s="4" t="s">
        <v>225</v>
      </c>
      <c r="C62" s="4">
        <v>1467536276</v>
      </c>
      <c r="D62" s="5" t="s">
        <v>390</v>
      </c>
      <c r="E62" s="4" t="s">
        <v>226</v>
      </c>
      <c r="F62" s="4" t="s">
        <v>16</v>
      </c>
      <c r="G62" s="4" t="s">
        <v>17</v>
      </c>
      <c r="H62" s="4" t="s">
        <v>303</v>
      </c>
      <c r="I62" s="4" t="s">
        <v>391</v>
      </c>
    </row>
    <row r="63" spans="1:9" x14ac:dyDescent="0.35">
      <c r="A63" s="4">
        <v>64662</v>
      </c>
      <c r="B63" s="4" t="s">
        <v>227</v>
      </c>
      <c r="C63" s="4">
        <v>1992848857</v>
      </c>
      <c r="D63" s="5" t="s">
        <v>228</v>
      </c>
      <c r="E63" s="4"/>
      <c r="F63" s="4" t="s">
        <v>48</v>
      </c>
      <c r="G63" s="4" t="s">
        <v>48</v>
      </c>
      <c r="H63" s="4" t="s">
        <v>303</v>
      </c>
      <c r="I63" s="4" t="s">
        <v>327</v>
      </c>
    </row>
    <row r="64" spans="1:9" x14ac:dyDescent="0.35">
      <c r="A64" s="4">
        <v>13660</v>
      </c>
      <c r="B64" s="4" t="s">
        <v>256</v>
      </c>
      <c r="C64" s="4">
        <v>1710913140</v>
      </c>
      <c r="D64" s="5" t="s">
        <v>257</v>
      </c>
      <c r="E64" s="4" t="s">
        <v>258</v>
      </c>
      <c r="F64" s="4" t="s">
        <v>259</v>
      </c>
      <c r="G64" s="4" t="s">
        <v>199</v>
      </c>
      <c r="H64" s="4" t="s">
        <v>303</v>
      </c>
      <c r="I64" s="4" t="s">
        <v>392</v>
      </c>
    </row>
    <row r="65" spans="1:9" x14ac:dyDescent="0.35">
      <c r="A65" s="4">
        <v>67015</v>
      </c>
      <c r="B65" s="4" t="s">
        <v>229</v>
      </c>
      <c r="C65" s="4">
        <v>1447406699</v>
      </c>
      <c r="D65" s="5" t="s">
        <v>230</v>
      </c>
      <c r="E65" s="4"/>
      <c r="F65" s="4" t="s">
        <v>231</v>
      </c>
      <c r="G65" s="4" t="s">
        <v>39</v>
      </c>
      <c r="H65" s="4" t="s">
        <v>303</v>
      </c>
      <c r="I65" s="4" t="s">
        <v>393</v>
      </c>
    </row>
    <row r="66" spans="1:9" x14ac:dyDescent="0.35">
      <c r="A66" s="4">
        <v>13603</v>
      </c>
      <c r="B66" s="4" t="s">
        <v>232</v>
      </c>
      <c r="C66" s="4">
        <v>1073674040</v>
      </c>
      <c r="D66" s="5" t="s">
        <v>233</v>
      </c>
      <c r="E66" s="4"/>
      <c r="F66" s="4" t="s">
        <v>234</v>
      </c>
      <c r="G66" s="4" t="s">
        <v>17</v>
      </c>
      <c r="H66" s="4" t="s">
        <v>303</v>
      </c>
      <c r="I66" s="4" t="s">
        <v>394</v>
      </c>
    </row>
    <row r="67" spans="1:9" x14ac:dyDescent="0.35">
      <c r="A67" s="4">
        <v>13032</v>
      </c>
      <c r="B67" s="4" t="s">
        <v>235</v>
      </c>
      <c r="C67" s="4">
        <v>1073510277</v>
      </c>
      <c r="D67" s="5" t="s">
        <v>10</v>
      </c>
      <c r="E67" s="4" t="s">
        <v>236</v>
      </c>
      <c r="F67" s="4" t="s">
        <v>32</v>
      </c>
      <c r="G67" s="4" t="s">
        <v>33</v>
      </c>
      <c r="H67" s="4" t="s">
        <v>303</v>
      </c>
      <c r="I67" s="4" t="s">
        <v>395</v>
      </c>
    </row>
    <row r="68" spans="1:9" x14ac:dyDescent="0.35">
      <c r="A68" s="4">
        <v>13088</v>
      </c>
      <c r="B68" s="4" t="s">
        <v>396</v>
      </c>
      <c r="C68" s="4">
        <v>1952309098</v>
      </c>
      <c r="D68" s="5" t="s">
        <v>239</v>
      </c>
      <c r="E68" s="4"/>
      <c r="F68" s="4" t="s">
        <v>38</v>
      </c>
      <c r="G68" s="4" t="s">
        <v>39</v>
      </c>
      <c r="H68" s="4" t="s">
        <v>303</v>
      </c>
      <c r="I68" s="4" t="s">
        <v>356</v>
      </c>
    </row>
    <row r="69" spans="1:9" x14ac:dyDescent="0.35">
      <c r="A69" s="4">
        <v>99306</v>
      </c>
      <c r="B69" s="4" t="s">
        <v>397</v>
      </c>
      <c r="C69" s="4">
        <v>1487904546</v>
      </c>
      <c r="D69" s="5" t="s">
        <v>260</v>
      </c>
      <c r="E69" s="4"/>
      <c r="F69" s="4" t="s">
        <v>237</v>
      </c>
      <c r="G69" s="4" t="s">
        <v>238</v>
      </c>
      <c r="H69" s="4" t="s">
        <v>303</v>
      </c>
      <c r="I69" s="4" t="s">
        <v>398</v>
      </c>
    </row>
    <row r="70" spans="1:9" x14ac:dyDescent="0.35">
      <c r="A70" s="4">
        <v>13628</v>
      </c>
      <c r="B70" s="4" t="s">
        <v>240</v>
      </c>
      <c r="C70" s="4">
        <v>1346250594</v>
      </c>
      <c r="D70" s="5" t="s">
        <v>241</v>
      </c>
      <c r="E70" s="4" t="s">
        <v>242</v>
      </c>
      <c r="F70" s="4" t="s">
        <v>25</v>
      </c>
      <c r="G70" s="4" t="s">
        <v>26</v>
      </c>
      <c r="H70" s="4" t="s">
        <v>303</v>
      </c>
      <c r="I70" s="4" t="s">
        <v>399</v>
      </c>
    </row>
    <row r="71" spans="1:9" x14ac:dyDescent="0.35">
      <c r="A71" s="4">
        <v>13675</v>
      </c>
      <c r="B71" s="4" t="s">
        <v>400</v>
      </c>
      <c r="C71" s="4">
        <v>1740211028</v>
      </c>
      <c r="D71" s="5" t="s">
        <v>243</v>
      </c>
      <c r="E71" s="4"/>
      <c r="F71" s="4" t="s">
        <v>244</v>
      </c>
      <c r="G71" s="4" t="s">
        <v>78</v>
      </c>
      <c r="H71" s="4" t="s">
        <v>303</v>
      </c>
      <c r="I71" s="4" t="s">
        <v>401</v>
      </c>
    </row>
    <row r="72" spans="1:9" x14ac:dyDescent="0.35">
      <c r="A72" s="4">
        <v>13675</v>
      </c>
      <c r="B72" s="4" t="s">
        <v>402</v>
      </c>
      <c r="C72" s="4">
        <v>1740211028</v>
      </c>
      <c r="D72" s="5" t="s">
        <v>245</v>
      </c>
      <c r="E72" s="4" t="s">
        <v>246</v>
      </c>
      <c r="F72" s="4" t="s">
        <v>247</v>
      </c>
      <c r="G72" s="4" t="s">
        <v>78</v>
      </c>
      <c r="H72" s="4" t="s">
        <v>303</v>
      </c>
      <c r="I72" s="4" t="s">
        <v>403</v>
      </c>
    </row>
    <row r="73" spans="1:9" x14ac:dyDescent="0.35">
      <c r="A73" s="4">
        <v>13793</v>
      </c>
      <c r="B73" s="4" t="s">
        <v>248</v>
      </c>
      <c r="C73" s="4">
        <v>1225033814</v>
      </c>
      <c r="D73" s="5" t="s">
        <v>52</v>
      </c>
      <c r="E73" s="4" t="s">
        <v>249</v>
      </c>
      <c r="F73" s="4" t="s">
        <v>250</v>
      </c>
      <c r="G73" s="4" t="s">
        <v>40</v>
      </c>
      <c r="H73" s="4" t="s">
        <v>303</v>
      </c>
      <c r="I73" s="4" t="s">
        <v>404</v>
      </c>
    </row>
    <row r="74" spans="1:9" x14ac:dyDescent="0.35">
      <c r="A74" s="4">
        <v>13074</v>
      </c>
      <c r="B74" s="4" t="s">
        <v>251</v>
      </c>
      <c r="C74" s="4">
        <v>1356496582</v>
      </c>
      <c r="D74" s="5" t="s">
        <v>23</v>
      </c>
      <c r="E74" s="4" t="s">
        <v>252</v>
      </c>
      <c r="F74" s="4" t="s">
        <v>16</v>
      </c>
      <c r="G74" s="4" t="s">
        <v>17</v>
      </c>
      <c r="H74" s="4" t="s">
        <v>303</v>
      </c>
      <c r="I74" s="4" t="s">
        <v>405</v>
      </c>
    </row>
    <row r="75" spans="1:9" x14ac:dyDescent="0.35">
      <c r="A75" s="4">
        <v>88757</v>
      </c>
      <c r="B75" s="4" t="s">
        <v>253</v>
      </c>
      <c r="C75" s="4">
        <v>1851686059</v>
      </c>
      <c r="D75" s="5" t="s">
        <v>254</v>
      </c>
      <c r="E75" s="4"/>
      <c r="F75" s="4" t="s">
        <v>255</v>
      </c>
      <c r="G75" s="4" t="s">
        <v>17</v>
      </c>
      <c r="H75" s="4" t="s">
        <v>303</v>
      </c>
      <c r="I75" s="4" t="s">
        <v>406</v>
      </c>
    </row>
    <row r="76" spans="1:9" x14ac:dyDescent="0.35">
      <c r="A76" s="4">
        <v>13369</v>
      </c>
      <c r="B76" s="4" t="s">
        <v>261</v>
      </c>
      <c r="C76" s="4">
        <v>1306992151</v>
      </c>
      <c r="D76" s="5" t="s">
        <v>10</v>
      </c>
      <c r="E76" s="4" t="s">
        <v>262</v>
      </c>
      <c r="F76" s="4" t="s">
        <v>16</v>
      </c>
      <c r="G76" s="4" t="s">
        <v>17</v>
      </c>
      <c r="H76" s="4" t="s">
        <v>303</v>
      </c>
      <c r="I76" s="4" t="s">
        <v>405</v>
      </c>
    </row>
    <row r="77" spans="1:9" x14ac:dyDescent="0.35">
      <c r="A77" s="4">
        <v>13284</v>
      </c>
      <c r="B77" s="4" t="s">
        <v>267</v>
      </c>
      <c r="C77" s="4">
        <v>1356305395</v>
      </c>
      <c r="D77" s="5" t="s">
        <v>158</v>
      </c>
      <c r="E77" s="4"/>
      <c r="F77" s="4" t="s">
        <v>159</v>
      </c>
      <c r="G77" s="4" t="s">
        <v>133</v>
      </c>
      <c r="H77" s="4" t="s">
        <v>303</v>
      </c>
      <c r="I77" s="4" t="s">
        <v>407</v>
      </c>
    </row>
    <row r="78" spans="1:9" x14ac:dyDescent="0.35">
      <c r="A78" s="4">
        <v>13432</v>
      </c>
      <c r="B78" s="4" t="s">
        <v>263</v>
      </c>
      <c r="C78" s="4">
        <v>1760485221</v>
      </c>
      <c r="D78" s="5" t="s">
        <v>52</v>
      </c>
      <c r="E78" s="4" t="s">
        <v>264</v>
      </c>
      <c r="F78" s="4" t="s">
        <v>265</v>
      </c>
      <c r="G78" s="4" t="s">
        <v>266</v>
      </c>
      <c r="H78" s="4" t="s">
        <v>303</v>
      </c>
      <c r="I78" s="4" t="s">
        <v>408</v>
      </c>
    </row>
    <row r="79" spans="1:9" x14ac:dyDescent="0.35">
      <c r="A79" s="4">
        <v>13825</v>
      </c>
      <c r="B79" s="4" t="s">
        <v>268</v>
      </c>
      <c r="C79" s="4">
        <v>1093713091</v>
      </c>
      <c r="D79" s="5" t="s">
        <v>270</v>
      </c>
      <c r="E79" s="4" t="s">
        <v>271</v>
      </c>
      <c r="F79" s="4" t="s">
        <v>269</v>
      </c>
      <c r="G79" s="4"/>
      <c r="H79" s="4" t="s">
        <v>383</v>
      </c>
      <c r="I79" s="4" t="s">
        <v>409</v>
      </c>
    </row>
    <row r="80" spans="1:9" x14ac:dyDescent="0.35">
      <c r="A80" s="4">
        <v>13931</v>
      </c>
      <c r="B80" s="4" t="s">
        <v>187</v>
      </c>
      <c r="C80" s="4">
        <v>1013074061</v>
      </c>
      <c r="D80" s="5" t="s">
        <v>188</v>
      </c>
      <c r="E80" s="4"/>
      <c r="F80" s="4" t="s">
        <v>189</v>
      </c>
      <c r="G80" s="4" t="s">
        <v>8</v>
      </c>
      <c r="H80" s="4" t="s">
        <v>303</v>
      </c>
      <c r="I80" s="4" t="s">
        <v>410</v>
      </c>
    </row>
    <row r="81" spans="1:9" x14ac:dyDescent="0.35">
      <c r="A81" s="4">
        <v>67514</v>
      </c>
      <c r="B81" s="4" t="s">
        <v>272</v>
      </c>
      <c r="C81" s="4">
        <v>1538345251</v>
      </c>
      <c r="D81" s="5" t="s">
        <v>411</v>
      </c>
      <c r="E81" s="4"/>
      <c r="F81" s="4" t="s">
        <v>273</v>
      </c>
      <c r="G81" s="4" t="s">
        <v>48</v>
      </c>
      <c r="H81" s="4" t="s">
        <v>303</v>
      </c>
      <c r="I81" s="4" t="s">
        <v>412</v>
      </c>
    </row>
    <row r="82" spans="1:9" x14ac:dyDescent="0.35">
      <c r="A82" s="4">
        <v>13100</v>
      </c>
      <c r="B82" s="4" t="s">
        <v>274</v>
      </c>
      <c r="C82" s="4">
        <v>1801851258</v>
      </c>
      <c r="D82" s="5" t="s">
        <v>10</v>
      </c>
      <c r="E82" s="4" t="s">
        <v>275</v>
      </c>
      <c r="F82" s="4" t="s">
        <v>16</v>
      </c>
      <c r="G82" s="4" t="s">
        <v>17</v>
      </c>
      <c r="H82" s="4" t="s">
        <v>303</v>
      </c>
      <c r="I82" s="4" t="s">
        <v>413</v>
      </c>
    </row>
    <row r="83" spans="1:9" x14ac:dyDescent="0.35">
      <c r="A83" s="4">
        <v>13440</v>
      </c>
      <c r="B83" s="4" t="s">
        <v>276</v>
      </c>
      <c r="C83" s="4">
        <v>1760466114</v>
      </c>
      <c r="D83" s="5" t="s">
        <v>23</v>
      </c>
      <c r="E83" s="4" t="s">
        <v>277</v>
      </c>
      <c r="F83" s="4" t="s">
        <v>186</v>
      </c>
      <c r="G83" s="4" t="s">
        <v>186</v>
      </c>
      <c r="H83" s="4" t="s">
        <v>303</v>
      </c>
      <c r="I83" s="4" t="s">
        <v>379</v>
      </c>
    </row>
    <row r="84" spans="1:9" x14ac:dyDescent="0.35">
      <c r="A84" s="4">
        <v>107747</v>
      </c>
      <c r="B84" s="4" t="s">
        <v>284</v>
      </c>
      <c r="C84" s="4">
        <v>1306183314</v>
      </c>
      <c r="D84" s="5" t="s">
        <v>285</v>
      </c>
      <c r="E84" s="4"/>
      <c r="F84" s="4" t="s">
        <v>12</v>
      </c>
      <c r="G84" s="4" t="s">
        <v>7</v>
      </c>
      <c r="H84" s="4" t="s">
        <v>303</v>
      </c>
      <c r="I84" s="4" t="s">
        <v>319</v>
      </c>
    </row>
    <row r="85" spans="1:9" x14ac:dyDescent="0.35">
      <c r="A85" s="4">
        <v>13458</v>
      </c>
      <c r="B85" s="4" t="s">
        <v>286</v>
      </c>
      <c r="C85" s="4">
        <v>1710927231</v>
      </c>
      <c r="D85" s="5" t="s">
        <v>52</v>
      </c>
      <c r="E85" s="4" t="s">
        <v>287</v>
      </c>
      <c r="F85" s="4" t="s">
        <v>85</v>
      </c>
      <c r="G85" s="4" t="s">
        <v>4</v>
      </c>
      <c r="H85" s="4" t="s">
        <v>303</v>
      </c>
      <c r="I85" s="4" t="s">
        <v>414</v>
      </c>
    </row>
    <row r="86" spans="1:9" x14ac:dyDescent="0.35">
      <c r="A86" s="4">
        <v>13646</v>
      </c>
      <c r="B86" s="4" t="s">
        <v>278</v>
      </c>
      <c r="C86" s="4">
        <v>1922009448</v>
      </c>
      <c r="D86" s="5" t="s">
        <v>52</v>
      </c>
      <c r="E86" s="4" t="s">
        <v>279</v>
      </c>
      <c r="F86" s="4" t="s">
        <v>280</v>
      </c>
      <c r="G86" s="4" t="s">
        <v>211</v>
      </c>
      <c r="H86" s="4" t="s">
        <v>303</v>
      </c>
      <c r="I86" s="4" t="s">
        <v>415</v>
      </c>
    </row>
    <row r="87" spans="1:9" x14ac:dyDescent="0.35">
      <c r="A87" s="4">
        <v>13586</v>
      </c>
      <c r="B87" s="4" t="s">
        <v>281</v>
      </c>
      <c r="C87" s="4">
        <v>1295708683</v>
      </c>
      <c r="D87" s="5" t="s">
        <v>52</v>
      </c>
      <c r="E87" s="4" t="s">
        <v>282</v>
      </c>
      <c r="F87" s="4" t="s">
        <v>283</v>
      </c>
      <c r="G87" s="4" t="s">
        <v>153</v>
      </c>
      <c r="H87" s="4" t="s">
        <v>303</v>
      </c>
      <c r="I87" s="4" t="s">
        <v>416</v>
      </c>
    </row>
    <row r="88" spans="1:9" x14ac:dyDescent="0.35">
      <c r="A88" s="4">
        <v>13608</v>
      </c>
      <c r="B88" s="4" t="s">
        <v>288</v>
      </c>
      <c r="C88" s="4">
        <v>1043241508</v>
      </c>
      <c r="D88" s="5" t="s">
        <v>417</v>
      </c>
      <c r="E88" s="4"/>
      <c r="F88" s="4" t="s">
        <v>40</v>
      </c>
      <c r="G88" s="4" t="s">
        <v>40</v>
      </c>
      <c r="H88" s="4" t="s">
        <v>303</v>
      </c>
      <c r="I88" s="4" t="s">
        <v>418</v>
      </c>
    </row>
  </sheetData>
  <conditionalFormatting sqref="C1:C1048576">
    <cfRule type="duplicateValues" dxfId="3" priority="1"/>
  </conditionalFormatting>
  <conditionalFormatting sqref="D1:E1 E2:E88">
    <cfRule type="duplicateValues" dxfId="2" priority="54"/>
    <cfRule type="duplicateValues" dxfId="1" priority="55"/>
  </conditionalFormatting>
  <conditionalFormatting sqref="B1:B88">
    <cfRule type="duplicateValues" dxfId="0" priority="6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4" sqref="B14"/>
    </sheetView>
  </sheetViews>
  <sheetFormatPr defaultRowHeight="14.5" x14ac:dyDescent="0.35"/>
  <cols>
    <col min="1" max="1" width="12.81640625" customWidth="1"/>
    <col min="2" max="2" width="31.26953125" customWidth="1"/>
    <col min="4" max="4" width="15.7265625" customWidth="1"/>
  </cols>
  <sheetData>
    <row r="1" spans="1:5" x14ac:dyDescent="0.35">
      <c r="A1" t="s">
        <v>291</v>
      </c>
      <c r="B1" s="7" t="s">
        <v>419</v>
      </c>
      <c r="C1" t="s">
        <v>420</v>
      </c>
      <c r="E1" s="7"/>
    </row>
    <row r="2" spans="1:5" x14ac:dyDescent="0.35">
      <c r="A2">
        <v>1083035547</v>
      </c>
      <c r="B2" t="s">
        <v>421</v>
      </c>
      <c r="C2" t="s">
        <v>422</v>
      </c>
    </row>
    <row r="3" spans="1:5" x14ac:dyDescent="0.35">
      <c r="A3" s="8">
        <v>1942324710</v>
      </c>
      <c r="B3" t="s">
        <v>423</v>
      </c>
      <c r="C3" t="s">
        <v>424</v>
      </c>
      <c r="D3" s="8"/>
    </row>
    <row r="4" spans="1:5" x14ac:dyDescent="0.35">
      <c r="A4">
        <v>1861495327</v>
      </c>
      <c r="B4" t="s">
        <v>425</v>
      </c>
      <c r="C4" t="s">
        <v>426</v>
      </c>
    </row>
    <row r="5" spans="1:5" x14ac:dyDescent="0.35">
      <c r="A5">
        <v>1225039811</v>
      </c>
      <c r="B5" t="s">
        <v>427</v>
      </c>
      <c r="C5" t="s">
        <v>428</v>
      </c>
    </row>
    <row r="6" spans="1:5" x14ac:dyDescent="0.35">
      <c r="A6" s="8">
        <v>1033268008</v>
      </c>
      <c r="B6" t="s">
        <v>429</v>
      </c>
      <c r="C6" t="s">
        <v>430</v>
      </c>
      <c r="D6" s="8"/>
    </row>
    <row r="7" spans="1:5" x14ac:dyDescent="0.35">
      <c r="A7">
        <v>1124034699</v>
      </c>
      <c r="B7" t="s">
        <v>431</v>
      </c>
      <c r="C7" t="s">
        <v>432</v>
      </c>
    </row>
    <row r="8" spans="1:5" x14ac:dyDescent="0.35">
      <c r="A8">
        <v>1780913657</v>
      </c>
      <c r="B8" t="s">
        <v>433</v>
      </c>
      <c r="C8" t="s">
        <v>428</v>
      </c>
    </row>
    <row r="9" spans="1:5" x14ac:dyDescent="0.35">
      <c r="A9">
        <v>1871726570</v>
      </c>
      <c r="B9" t="s">
        <v>434</v>
      </c>
      <c r="C9" t="s">
        <v>428</v>
      </c>
    </row>
    <row r="10" spans="1:5" x14ac:dyDescent="0.35">
      <c r="A10">
        <v>1841504768</v>
      </c>
      <c r="B10" t="s">
        <v>435</v>
      </c>
      <c r="C10" t="s">
        <v>436</v>
      </c>
    </row>
    <row r="11" spans="1:5" x14ac:dyDescent="0.35">
      <c r="A11">
        <v>1659758639</v>
      </c>
      <c r="B11" t="s">
        <v>437</v>
      </c>
      <c r="C11" t="s">
        <v>438</v>
      </c>
    </row>
    <row r="12" spans="1:5" x14ac:dyDescent="0.35">
      <c r="A12">
        <v>1093895203</v>
      </c>
      <c r="B12" t="s">
        <v>439</v>
      </c>
      <c r="C12" t="s">
        <v>440</v>
      </c>
    </row>
    <row r="13" spans="1:5" x14ac:dyDescent="0.35">
      <c r="A13">
        <v>1689812968</v>
      </c>
      <c r="B13" t="s">
        <v>441</v>
      </c>
      <c r="C13" t="s">
        <v>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19" sqref="E19"/>
    </sheetView>
  </sheetViews>
  <sheetFormatPr defaultRowHeight="14.5" x14ac:dyDescent="0.35"/>
  <cols>
    <col min="1" max="1" width="14" customWidth="1"/>
    <col min="2" max="2" width="39" customWidth="1"/>
    <col min="3" max="3" width="11.81640625" customWidth="1"/>
  </cols>
  <sheetData>
    <row r="1" spans="1:4" x14ac:dyDescent="0.35">
      <c r="A1" s="2" t="s">
        <v>291</v>
      </c>
      <c r="B1" s="2" t="s">
        <v>419</v>
      </c>
      <c r="C1" s="2" t="s">
        <v>442</v>
      </c>
      <c r="D1" s="2" t="s">
        <v>443</v>
      </c>
    </row>
    <row r="2" spans="1:4" x14ac:dyDescent="0.35">
      <c r="A2" s="4">
        <v>1033191309</v>
      </c>
      <c r="B2" s="4" t="s">
        <v>444</v>
      </c>
      <c r="C2" s="6" t="s">
        <v>445</v>
      </c>
      <c r="D2" s="6" t="s">
        <v>446</v>
      </c>
    </row>
    <row r="3" spans="1:4" x14ac:dyDescent="0.35">
      <c r="A3" s="4">
        <v>1003822487</v>
      </c>
      <c r="B3" s="4" t="s">
        <v>447</v>
      </c>
      <c r="C3" s="6" t="s">
        <v>445</v>
      </c>
      <c r="D3" s="6" t="s">
        <v>446</v>
      </c>
    </row>
    <row r="4" spans="1:4" x14ac:dyDescent="0.35">
      <c r="A4" s="4">
        <v>1790904225</v>
      </c>
      <c r="B4" s="4" t="s">
        <v>448</v>
      </c>
      <c r="C4" s="6" t="s">
        <v>449</v>
      </c>
      <c r="D4" s="6" t="s">
        <v>446</v>
      </c>
    </row>
    <row r="5" spans="1:4" x14ac:dyDescent="0.35">
      <c r="A5" s="4">
        <v>1417945627</v>
      </c>
      <c r="B5" s="4" t="s">
        <v>450</v>
      </c>
      <c r="C5" s="6" t="s">
        <v>451</v>
      </c>
      <c r="D5" s="6" t="s">
        <v>452</v>
      </c>
    </row>
    <row r="6" spans="1:4" x14ac:dyDescent="0.35">
      <c r="A6" s="4">
        <v>1992798409</v>
      </c>
      <c r="B6" s="4" t="s">
        <v>453</v>
      </c>
      <c r="C6" s="6" t="s">
        <v>454</v>
      </c>
      <c r="D6" s="6" t="s">
        <v>455</v>
      </c>
    </row>
    <row r="7" spans="1:4" x14ac:dyDescent="0.35">
      <c r="A7" s="4">
        <v>1336162874</v>
      </c>
      <c r="B7" s="4" t="s">
        <v>456</v>
      </c>
      <c r="C7" s="6" t="s">
        <v>445</v>
      </c>
      <c r="D7" s="6" t="s">
        <v>446</v>
      </c>
    </row>
    <row r="8" spans="1:4" x14ac:dyDescent="0.35">
      <c r="A8" s="4">
        <v>1609824010</v>
      </c>
      <c r="B8" s="4" t="s">
        <v>457</v>
      </c>
      <c r="C8" s="6" t="s">
        <v>445</v>
      </c>
      <c r="D8" s="6" t="s">
        <v>446</v>
      </c>
    </row>
    <row r="9" spans="1:4" x14ac:dyDescent="0.35">
      <c r="A9" s="4">
        <v>1023194271</v>
      </c>
      <c r="B9" s="4" t="s">
        <v>458</v>
      </c>
      <c r="C9" s="6" t="s">
        <v>445</v>
      </c>
      <c r="D9" s="6" t="s">
        <v>446</v>
      </c>
    </row>
    <row r="10" spans="1:4" x14ac:dyDescent="0.35">
      <c r="A10" s="4">
        <v>1114015971</v>
      </c>
      <c r="B10" s="4" t="s">
        <v>459</v>
      </c>
      <c r="C10" s="6" t="s">
        <v>445</v>
      </c>
      <c r="D10" s="6" t="s">
        <v>446</v>
      </c>
    </row>
    <row r="11" spans="1:4" x14ac:dyDescent="0.35">
      <c r="A11" s="4">
        <v>1912282369</v>
      </c>
      <c r="B11" s="4" t="s">
        <v>460</v>
      </c>
      <c r="C11" s="6" t="s">
        <v>461</v>
      </c>
      <c r="D11" s="6" t="s">
        <v>446</v>
      </c>
    </row>
    <row r="12" spans="1:4" x14ac:dyDescent="0.35">
      <c r="A12" s="4">
        <v>1770587107</v>
      </c>
      <c r="B12" s="4" t="s">
        <v>462</v>
      </c>
      <c r="C12" s="6" t="s">
        <v>463</v>
      </c>
      <c r="D12" s="6" t="s">
        <v>446</v>
      </c>
    </row>
    <row r="13" spans="1:4" x14ac:dyDescent="0.35">
      <c r="A13" s="4">
        <v>1346237971</v>
      </c>
      <c r="B13" s="4" t="s">
        <v>464</v>
      </c>
      <c r="C13" s="6" t="s">
        <v>465</v>
      </c>
      <c r="D13" s="6" t="s">
        <v>446</v>
      </c>
    </row>
    <row r="14" spans="1:4" x14ac:dyDescent="0.35">
      <c r="A14" s="4">
        <v>1154506814</v>
      </c>
      <c r="B14" s="4" t="s">
        <v>466</v>
      </c>
      <c r="C14" s="6" t="s">
        <v>475</v>
      </c>
      <c r="D14" s="6" t="s">
        <v>446</v>
      </c>
    </row>
    <row r="15" spans="1:4" x14ac:dyDescent="0.35">
      <c r="A15" s="4">
        <v>1770687857</v>
      </c>
      <c r="B15" s="4" t="s">
        <v>467</v>
      </c>
      <c r="C15" s="6" t="s">
        <v>468</v>
      </c>
      <c r="D15" s="6" t="s">
        <v>455</v>
      </c>
    </row>
    <row r="16" spans="1:4" x14ac:dyDescent="0.35">
      <c r="A16" s="4">
        <v>1205975851</v>
      </c>
      <c r="B16" s="4" t="s">
        <v>469</v>
      </c>
      <c r="C16" s="6" t="s">
        <v>470</v>
      </c>
      <c r="D16" s="6" t="s">
        <v>455</v>
      </c>
    </row>
    <row r="17" spans="1:4" x14ac:dyDescent="0.35">
      <c r="A17" s="4">
        <v>1932154705</v>
      </c>
      <c r="B17" s="4" t="s">
        <v>471</v>
      </c>
      <c r="C17" s="6" t="s">
        <v>472</v>
      </c>
      <c r="D17" s="6" t="s">
        <v>455</v>
      </c>
    </row>
    <row r="18" spans="1:4" x14ac:dyDescent="0.35">
      <c r="A18" s="4">
        <v>1891732905</v>
      </c>
      <c r="B18" s="4" t="s">
        <v>473</v>
      </c>
      <c r="C18" s="6" t="s">
        <v>474</v>
      </c>
      <c r="D18" s="6" t="s">
        <v>455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E14" sqref="E14"/>
    </sheetView>
  </sheetViews>
  <sheetFormatPr defaultRowHeight="14.5" x14ac:dyDescent="0.35"/>
  <cols>
    <col min="1" max="1" width="12.7265625" customWidth="1"/>
    <col min="2" max="2" width="26" customWidth="1"/>
    <col min="3" max="3" width="11.1796875" bestFit="1" customWidth="1"/>
    <col min="4" max="4" width="11.1796875" customWidth="1"/>
    <col min="5" max="5" width="9.7265625" bestFit="1" customWidth="1"/>
    <col min="6" max="6" width="10.81640625" bestFit="1" customWidth="1"/>
    <col min="7" max="7" width="21.1796875" customWidth="1"/>
    <col min="8" max="8" width="15.1796875" customWidth="1"/>
    <col min="9" max="9" width="31.81640625" customWidth="1"/>
    <col min="11" max="11" width="13.7265625" bestFit="1" customWidth="1"/>
  </cols>
  <sheetData>
    <row r="1" spans="1:11" ht="24" x14ac:dyDescent="0.35">
      <c r="A1" s="13" t="s">
        <v>289</v>
      </c>
      <c r="B1" s="13" t="s">
        <v>290</v>
      </c>
      <c r="C1" s="13" t="s">
        <v>291</v>
      </c>
      <c r="D1" s="13" t="s">
        <v>481</v>
      </c>
      <c r="E1" s="13" t="s">
        <v>292</v>
      </c>
      <c r="F1" s="13" t="s">
        <v>293</v>
      </c>
      <c r="G1" s="13" t="s">
        <v>294</v>
      </c>
      <c r="H1" s="13" t="s">
        <v>295</v>
      </c>
      <c r="I1" s="13" t="s">
        <v>296</v>
      </c>
      <c r="J1" s="13" t="s">
        <v>298</v>
      </c>
      <c r="K1" s="13" t="s">
        <v>297</v>
      </c>
    </row>
    <row r="2" spans="1:11" ht="29.5" thickBot="1" x14ac:dyDescent="0.4">
      <c r="A2" s="6">
        <v>2023236</v>
      </c>
      <c r="B2" s="6" t="s">
        <v>477</v>
      </c>
      <c r="C2" s="9">
        <v>1215286851</v>
      </c>
      <c r="D2" s="14" t="s">
        <v>482</v>
      </c>
      <c r="E2" s="10">
        <v>41183</v>
      </c>
      <c r="F2" s="10">
        <v>401768</v>
      </c>
      <c r="G2" s="9" t="s">
        <v>300</v>
      </c>
      <c r="H2" s="9" t="s">
        <v>301</v>
      </c>
      <c r="I2" s="9" t="s">
        <v>478</v>
      </c>
      <c r="J2" s="9" t="s">
        <v>48</v>
      </c>
      <c r="K2" s="11" t="s">
        <v>303</v>
      </c>
    </row>
    <row r="3" spans="1:11" x14ac:dyDescent="0.35">
      <c r="A3" s="6">
        <v>2077844</v>
      </c>
      <c r="B3" s="6" t="s">
        <v>477</v>
      </c>
      <c r="C3" s="6">
        <v>1073648374</v>
      </c>
      <c r="D3" s="6">
        <v>146500</v>
      </c>
      <c r="E3" s="12">
        <v>42917</v>
      </c>
      <c r="F3" s="12">
        <v>401768</v>
      </c>
      <c r="G3" s="6" t="s">
        <v>300</v>
      </c>
      <c r="H3" s="6" t="s">
        <v>301</v>
      </c>
      <c r="I3" s="6" t="s">
        <v>480</v>
      </c>
      <c r="J3" s="6" t="s">
        <v>479</v>
      </c>
      <c r="K3" s="6" t="s">
        <v>303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3R units</vt:lpstr>
      <vt:lpstr>3Q units</vt:lpstr>
      <vt:lpstr>2N list</vt:lpstr>
      <vt:lpstr>1S E&amp;Ts</vt:lpstr>
      <vt:lpstr>Out of State Hospitals</vt:lpstr>
      <vt:lpstr>SWMS 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Campbell, Kevin (DSHS/BHA/MH)</dc:creator>
  <cp:lastModifiedBy>Thoemke, Melissa M (HCA)</cp:lastModifiedBy>
  <cp:lastPrinted>2020-04-20T18:54:22Z</cp:lastPrinted>
  <dcterms:created xsi:type="dcterms:W3CDTF">2016-02-19T23:52:39Z</dcterms:created>
  <dcterms:modified xsi:type="dcterms:W3CDTF">2020-04-20T18:55:00Z</dcterms:modified>
</cp:coreProperties>
</file>