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CQCT\Pharmacy CQCT\Website\Misc pharmacy docs\"/>
    </mc:Choice>
  </mc:AlternateContent>
  <xr:revisionPtr revIDLastSave="0" documentId="8_{F0EFD3B9-F78C-4F33-9F29-3A48E43AD3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ME Calculator" sheetId="5" r:id="rId1"/>
    <sheet name="Methadone VLookup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5" l="1"/>
  <c r="E27" i="5"/>
  <c r="E32" i="5"/>
  <c r="E30" i="5" l="1"/>
  <c r="E17" i="5"/>
  <c r="E16" i="5" l="1"/>
  <c r="E28" i="5" l="1"/>
  <c r="E36" i="5" l="1"/>
  <c r="E38" i="5"/>
  <c r="E37" i="5"/>
  <c r="E35" i="5"/>
  <c r="E34" i="5"/>
  <c r="E33" i="5"/>
  <c r="E31" i="5"/>
  <c r="E29" i="5"/>
  <c r="E26" i="5"/>
  <c r="E25" i="5"/>
  <c r="E24" i="5"/>
  <c r="E23" i="5"/>
  <c r="E22" i="5"/>
  <c r="E21" i="5"/>
  <c r="E20" i="5"/>
  <c r="E19" i="5"/>
  <c r="E18" i="5"/>
  <c r="E40" i="5" l="1"/>
</calcChain>
</file>

<file path=xl/sharedStrings.xml><?xml version="1.0" encoding="utf-8"?>
<sst xmlns="http://schemas.openxmlformats.org/spreadsheetml/2006/main" count="41" uniqueCount="40">
  <si>
    <t xml:space="preserve">Opioid </t>
  </si>
  <si>
    <t>mg per day</t>
  </si>
  <si>
    <t>Morphine equivalents</t>
  </si>
  <si>
    <t>Codeine</t>
  </si>
  <si>
    <t>Dihydrocodeine</t>
  </si>
  <si>
    <t>Hydrocodone</t>
  </si>
  <si>
    <t>Hydromorphone</t>
  </si>
  <si>
    <t xml:space="preserve">Levorphanol </t>
  </si>
  <si>
    <t>Methadone</t>
  </si>
  <si>
    <t>Morphine</t>
  </si>
  <si>
    <t>Oxycodone</t>
  </si>
  <si>
    <t>Oxymorphone</t>
  </si>
  <si>
    <t>Pentazocine</t>
  </si>
  <si>
    <t>Propoxyphene</t>
  </si>
  <si>
    <t xml:space="preserve">Tapentadol </t>
  </si>
  <si>
    <t xml:space="preserve">Tramadol </t>
  </si>
  <si>
    <t>Benzhydrocodone</t>
  </si>
  <si>
    <t>TOTAL MME</t>
  </si>
  <si>
    <t xml:space="preserve">Levomethadyl </t>
  </si>
  <si>
    <t>Morphine Milligram Equivalent (MME) Calculator</t>
  </si>
  <si>
    <t>Conversion factor</t>
  </si>
  <si>
    <r>
      <rPr>
        <b/>
        <sz val="13"/>
        <color theme="1"/>
        <rFont val="Century Gothic"/>
        <family val="2"/>
        <scheme val="minor"/>
      </rPr>
      <t>Fentanyl transdermal</t>
    </r>
    <r>
      <rPr>
        <sz val="13"/>
        <color theme="1"/>
        <rFont val="Century Gothic"/>
        <family val="2"/>
        <scheme val="minor"/>
      </rPr>
      <t xml:space="preserve"> (mcg/hr) </t>
    </r>
  </si>
  <si>
    <r>
      <rPr>
        <b/>
        <sz val="13"/>
        <color theme="1"/>
        <rFont val="Century Gothic"/>
        <family val="2"/>
        <scheme val="minor"/>
      </rPr>
      <t xml:space="preserve">Fentanyl buccal tablet </t>
    </r>
    <r>
      <rPr>
        <sz val="13"/>
        <color theme="1"/>
        <rFont val="Century Gothic"/>
        <family val="2"/>
        <scheme val="minor"/>
      </rPr>
      <t>(mcg)</t>
    </r>
  </si>
  <si>
    <r>
      <rPr>
        <b/>
        <sz val="13"/>
        <color theme="1"/>
        <rFont val="Century Gothic"/>
        <family val="2"/>
        <scheme val="minor"/>
      </rPr>
      <t>Fentanyl nasal spray</t>
    </r>
    <r>
      <rPr>
        <sz val="13"/>
        <color theme="1"/>
        <rFont val="Century Gothic"/>
        <family val="2"/>
        <scheme val="minor"/>
      </rPr>
      <t xml:space="preserve"> (mcg/spray)</t>
    </r>
  </si>
  <si>
    <r>
      <rPr>
        <b/>
        <sz val="13"/>
        <color theme="1"/>
        <rFont val="Century Gothic"/>
        <family val="2"/>
        <scheme val="minor"/>
      </rPr>
      <t>Fentanyl oral spray</t>
    </r>
    <r>
      <rPr>
        <sz val="13"/>
        <color theme="1"/>
        <rFont val="Century Gothic"/>
        <family val="2"/>
        <scheme val="minor"/>
      </rPr>
      <t xml:space="preserve"> (mcg/spray)</t>
    </r>
  </si>
  <si>
    <r>
      <rPr>
        <b/>
        <u/>
        <sz val="13"/>
        <rFont val="Century Gothic"/>
        <family val="2"/>
        <scheme val="minor"/>
      </rPr>
      <t>CAUTION</t>
    </r>
    <r>
      <rPr>
        <b/>
        <sz val="13"/>
        <rFont val="Century Gothic"/>
        <family val="2"/>
        <scheme val="minor"/>
      </rPr>
      <t>:</t>
    </r>
    <r>
      <rPr>
        <sz val="13"/>
        <rFont val="Century Gothic"/>
        <family val="2"/>
        <scheme val="minor"/>
      </rPr>
      <t xml:space="preserve"> This calculator should</t>
    </r>
    <r>
      <rPr>
        <b/>
        <sz val="13"/>
        <rFont val="Century Gothic"/>
        <family val="2"/>
        <scheme val="minor"/>
      </rPr>
      <t xml:space="preserve"> NOT</t>
    </r>
    <r>
      <rPr>
        <sz val="13"/>
        <rFont val="Century Gothic"/>
        <family val="2"/>
        <scheme val="minor"/>
      </rPr>
      <t xml:space="preserve"> be used to determine doses when converting a client from one opioid to another. Equianalgesic dose ratios are only approximations and do not account for genetic factors, incomplete cross-tolerance, and pharmcokinetics.</t>
    </r>
  </si>
  <si>
    <t>How to use the MME Calculator:</t>
  </si>
  <si>
    <r>
      <rPr>
        <b/>
        <sz val="13"/>
        <color theme="1"/>
        <rFont val="Century Gothic"/>
        <family val="2"/>
        <scheme val="minor"/>
      </rPr>
      <t xml:space="preserve">1. </t>
    </r>
    <r>
      <rPr>
        <sz val="13"/>
        <color theme="1"/>
        <rFont val="Century Gothic"/>
        <family val="2"/>
        <scheme val="minor"/>
      </rPr>
      <t>Determine the total daily dose of each opioid the client takes</t>
    </r>
  </si>
  <si>
    <r>
      <rPr>
        <b/>
        <sz val="13"/>
        <color theme="1"/>
        <rFont val="Century Gothic"/>
        <family val="2"/>
        <scheme val="minor"/>
      </rPr>
      <t>2</t>
    </r>
    <r>
      <rPr>
        <sz val="13"/>
        <color theme="1"/>
        <rFont val="Century Gothic"/>
        <family val="2"/>
        <scheme val="minor"/>
      </rPr>
      <t>. Input the calculated amounts into the mg per day column</t>
    </r>
  </si>
  <si>
    <r>
      <rPr>
        <b/>
        <sz val="13"/>
        <color theme="1"/>
        <rFont val="Century Gothic"/>
        <family val="2"/>
        <scheme val="minor"/>
      </rPr>
      <t>3.</t>
    </r>
    <r>
      <rPr>
        <sz val="13"/>
        <color theme="1"/>
        <rFont val="Century Gothic"/>
        <family val="2"/>
        <scheme val="minor"/>
      </rPr>
      <t xml:space="preserve"> The calculator will automatically calculate the total MME</t>
    </r>
  </si>
  <si>
    <t>**</t>
  </si>
  <si>
    <t>**A sliding scale is used to calculate the MME of methadone depending on its daily dose.</t>
  </si>
  <si>
    <t>Conversion Factor</t>
  </si>
  <si>
    <r>
      <t xml:space="preserve">Butorphanol </t>
    </r>
    <r>
      <rPr>
        <i/>
        <sz val="13"/>
        <color theme="1"/>
        <rFont val="Century Gothic"/>
        <family val="2"/>
        <scheme val="minor"/>
      </rPr>
      <t>(nasal)</t>
    </r>
  </si>
  <si>
    <r>
      <t xml:space="preserve">Meperidine </t>
    </r>
    <r>
      <rPr>
        <i/>
        <sz val="13"/>
        <color theme="1"/>
        <rFont val="Century Gothic"/>
        <family val="2"/>
        <scheme val="minor"/>
      </rPr>
      <t>(oral)</t>
    </r>
  </si>
  <si>
    <r>
      <t xml:space="preserve">Meperidine </t>
    </r>
    <r>
      <rPr>
        <i/>
        <sz val="13"/>
        <color theme="1"/>
        <rFont val="Century Gothic"/>
        <family val="2"/>
        <scheme val="minor"/>
      </rPr>
      <t>(IM, IV)</t>
    </r>
  </si>
  <si>
    <r>
      <rPr>
        <b/>
        <sz val="13"/>
        <color theme="1"/>
        <rFont val="Century Gothic"/>
        <family val="2"/>
        <scheme val="minor"/>
      </rPr>
      <t>Buprenorphine film*</t>
    </r>
    <r>
      <rPr>
        <sz val="13"/>
        <color theme="1"/>
        <rFont val="Century Gothic"/>
        <family val="2"/>
        <scheme val="minor"/>
      </rPr>
      <t xml:space="preserve"> (mcg)</t>
    </r>
  </si>
  <si>
    <r>
      <rPr>
        <b/>
        <sz val="13"/>
        <color theme="1"/>
        <rFont val="Century Gothic"/>
        <family val="2"/>
        <scheme val="minor"/>
      </rPr>
      <t>Buprenorphine transdermal*</t>
    </r>
    <r>
      <rPr>
        <sz val="13"/>
        <color theme="1"/>
        <rFont val="Century Gothic"/>
        <family val="2"/>
        <scheme val="minor"/>
      </rPr>
      <t xml:space="preserve"> (mcg/hr)</t>
    </r>
  </si>
  <si>
    <t>*Only buprenorphine products indicated for pain</t>
  </si>
  <si>
    <r>
      <rPr>
        <b/>
        <u/>
        <sz val="13"/>
        <color theme="1"/>
        <rFont val="Century Gothic"/>
        <family val="2"/>
        <scheme val="minor"/>
      </rPr>
      <t>Purpose:</t>
    </r>
    <r>
      <rPr>
        <b/>
        <sz val="13"/>
        <color theme="1"/>
        <rFont val="Century Gothic"/>
        <family val="2"/>
        <scheme val="minor"/>
      </rPr>
      <t xml:space="preserve"> </t>
    </r>
    <r>
      <rPr>
        <sz val="13"/>
        <color theme="1"/>
        <rFont val="Century Gothic"/>
        <family val="2"/>
        <scheme val="minor"/>
      </rPr>
      <t xml:space="preserve">This calculator is intended to understand how MME are calculated for a client taking one or more opioid medications under the Analgesics: Opioid Agonists (65.10.00) for Apple Health. Please note transdermal opioids are calculated per day.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</si>
</sst>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14" x14ac:knownFonts="1">
    <font>
      <sz val="11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20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13"/>
      <color theme="1"/>
      <name val="Century Gothic"/>
      <family val="2"/>
      <scheme val="minor"/>
    </font>
    <font>
      <sz val="13"/>
      <color theme="1"/>
      <name val="Century Gothic"/>
      <family val="2"/>
      <scheme val="minor"/>
    </font>
    <font>
      <sz val="13"/>
      <name val="Century Gothic"/>
      <family val="2"/>
      <scheme val="minor"/>
    </font>
    <font>
      <b/>
      <u/>
      <sz val="13"/>
      <name val="Century Gothic"/>
      <family val="2"/>
      <scheme val="minor"/>
    </font>
    <font>
      <b/>
      <sz val="13"/>
      <name val="Century Gothic"/>
      <family val="2"/>
      <scheme val="minor"/>
    </font>
    <font>
      <sz val="13"/>
      <color rgb="FFFF0000"/>
      <name val="Century Gothic"/>
      <family val="2"/>
      <scheme val="minor"/>
    </font>
    <font>
      <b/>
      <u/>
      <sz val="13"/>
      <color theme="1"/>
      <name val="Century Gothic"/>
      <family val="2"/>
      <scheme val="minor"/>
    </font>
    <font>
      <i/>
      <sz val="13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3"/>
      <color rgb="FFC00000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9">
    <xf numFmtId="0" fontId="0" fillId="0" borderId="0" xfId="0"/>
    <xf numFmtId="0" fontId="1" fillId="0" borderId="0" xfId="1" applyFill="1" applyBorder="1"/>
    <xf numFmtId="0" fontId="3" fillId="0" borderId="0" xfId="0" applyFont="1"/>
    <xf numFmtId="0" fontId="4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3" borderId="16" xfId="0" applyFont="1" applyFill="1" applyBorder="1" applyAlignment="1" applyProtection="1">
      <alignment horizontal="center" wrapText="1"/>
      <protection hidden="1"/>
    </xf>
    <xf numFmtId="0" fontId="4" fillId="5" borderId="11" xfId="0" applyFont="1" applyFill="1" applyBorder="1" applyAlignment="1">
      <alignment horizontal="center" wrapText="1"/>
    </xf>
    <xf numFmtId="0" fontId="5" fillId="0" borderId="12" xfId="0" applyFont="1" applyBorder="1" applyAlignment="1" applyProtection="1">
      <alignment horizontal="center" wrapText="1"/>
      <protection locked="0"/>
    </xf>
    <xf numFmtId="164" fontId="5" fillId="0" borderId="13" xfId="0" applyNumberFormat="1" applyFont="1" applyBorder="1" applyAlignment="1" applyProtection="1">
      <alignment horizontal="center" wrapText="1"/>
      <protection hidden="1"/>
    </xf>
    <xf numFmtId="0" fontId="5" fillId="5" borderId="5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164" fontId="5" fillId="0" borderId="4" xfId="0" applyNumberFormat="1" applyFont="1" applyBorder="1" applyAlignment="1" applyProtection="1">
      <alignment horizontal="center" wrapText="1"/>
      <protection hidden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5" fillId="0" borderId="3" xfId="0" applyFont="1" applyBorder="1" applyAlignment="1" applyProtection="1">
      <alignment horizontal="center" wrapText="1"/>
      <protection locked="0"/>
    </xf>
    <xf numFmtId="164" fontId="5" fillId="0" borderId="28" xfId="0" applyNumberFormat="1" applyFont="1" applyBorder="1" applyAlignment="1" applyProtection="1">
      <alignment horizontal="center" wrapText="1"/>
      <protection hidden="1"/>
    </xf>
    <xf numFmtId="0" fontId="5" fillId="0" borderId="0" xfId="0" applyFont="1"/>
    <xf numFmtId="0" fontId="5" fillId="0" borderId="26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4" fillId="0" borderId="29" xfId="0" applyFont="1" applyBorder="1" applyAlignment="1" applyProtection="1">
      <alignment horizontal="center"/>
      <protection hidden="1"/>
    </xf>
    <xf numFmtId="0" fontId="8" fillId="4" borderId="24" xfId="1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5" borderId="5" xfId="0" applyFont="1" applyFill="1" applyBorder="1" applyAlignment="1">
      <alignment horizontal="center"/>
    </xf>
    <xf numFmtId="0" fontId="12" fillId="0" borderId="0" xfId="0" applyFont="1"/>
    <xf numFmtId="0" fontId="4" fillId="0" borderId="0" xfId="0" applyFont="1" applyAlignment="1" applyProtection="1">
      <alignment horizontal="center"/>
      <protection hidden="1"/>
    </xf>
    <xf numFmtId="0" fontId="8" fillId="0" borderId="0" xfId="1" applyFont="1" applyFill="1" applyBorder="1" applyAlignment="1">
      <alignment horizontal="center"/>
    </xf>
    <xf numFmtId="0" fontId="13" fillId="0" borderId="27" xfId="0" applyFont="1" applyBorder="1" applyAlignment="1">
      <alignment horizontal="center" wrapText="1"/>
    </xf>
    <xf numFmtId="0" fontId="9" fillId="6" borderId="0" xfId="0" applyFont="1" applyFill="1" applyAlignment="1">
      <alignment horizontal="left" wrapText="1"/>
    </xf>
    <xf numFmtId="0" fontId="10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left" wrapText="1"/>
    </xf>
    <xf numFmtId="0" fontId="9" fillId="6" borderId="17" xfId="0" applyFont="1" applyFill="1" applyBorder="1" applyAlignment="1">
      <alignment horizontal="left" wrapText="1"/>
    </xf>
    <xf numFmtId="0" fontId="9" fillId="6" borderId="20" xfId="0" applyFont="1" applyFill="1" applyBorder="1" applyAlignment="1">
      <alignment horizontal="left" wrapText="1"/>
    </xf>
    <xf numFmtId="0" fontId="9" fillId="6" borderId="7" xfId="0" applyFont="1" applyFill="1" applyBorder="1" applyAlignment="1">
      <alignment horizontal="left" wrapText="1"/>
    </xf>
    <xf numFmtId="0" fontId="9" fillId="6" borderId="0" xfId="0" applyFont="1" applyFill="1" applyAlignment="1">
      <alignment horizontal="left" wrapText="1"/>
    </xf>
    <xf numFmtId="0" fontId="9" fillId="6" borderId="21" xfId="0" applyFont="1" applyFill="1" applyBorder="1" applyAlignment="1">
      <alignment horizontal="left" wrapText="1"/>
    </xf>
    <xf numFmtId="0" fontId="9" fillId="6" borderId="22" xfId="0" applyFont="1" applyFill="1" applyBorder="1" applyAlignment="1">
      <alignment horizontal="left" wrapText="1"/>
    </xf>
    <xf numFmtId="0" fontId="9" fillId="6" borderId="18" xfId="0" applyFont="1" applyFill="1" applyBorder="1" applyAlignment="1">
      <alignment horizontal="left" wrapText="1"/>
    </xf>
    <xf numFmtId="0" fontId="9" fillId="6" borderId="23" xfId="0" applyFont="1" applyFill="1" applyBorder="1" applyAlignment="1">
      <alignment horizontal="left" wrapText="1"/>
    </xf>
    <xf numFmtId="0" fontId="5" fillId="8" borderId="7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21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8" borderId="22" xfId="0" applyFill="1" applyBorder="1" applyAlignment="1">
      <alignment wrapText="1"/>
    </xf>
    <xf numFmtId="0" fontId="0" fillId="8" borderId="18" xfId="0" applyFill="1" applyBorder="1" applyAlignment="1">
      <alignment wrapText="1"/>
    </xf>
    <xf numFmtId="0" fontId="0" fillId="8" borderId="23" xfId="0" applyFill="1" applyBorder="1" applyAlignment="1">
      <alignment wrapText="1"/>
    </xf>
    <xf numFmtId="0" fontId="13" fillId="0" borderId="0" xfId="0" applyFont="1" applyAlignment="1">
      <alignment horizontal="left" wrapText="1"/>
    </xf>
    <xf numFmtId="0" fontId="10" fillId="7" borderId="19" xfId="0" applyFont="1" applyFill="1" applyBorder="1" applyAlignment="1">
      <alignment horizontal="left"/>
    </xf>
    <xf numFmtId="0" fontId="10" fillId="7" borderId="17" xfId="0" applyFont="1" applyFill="1" applyBorder="1" applyAlignment="1">
      <alignment horizontal="left"/>
    </xf>
    <xf numFmtId="0" fontId="10" fillId="7" borderId="20" xfId="0" applyFont="1" applyFill="1" applyBorder="1" applyAlignment="1">
      <alignment horizontal="left"/>
    </xf>
    <xf numFmtId="0" fontId="5" fillId="7" borderId="7" xfId="0" applyFont="1" applyFill="1" applyBorder="1"/>
    <xf numFmtId="0" fontId="5" fillId="7" borderId="0" xfId="0" applyFont="1" applyFill="1"/>
    <xf numFmtId="0" fontId="5" fillId="7" borderId="21" xfId="0" applyFont="1" applyFill="1" applyBorder="1"/>
    <xf numFmtId="0" fontId="5" fillId="7" borderId="22" xfId="0" applyFont="1" applyFill="1" applyBorder="1"/>
    <xf numFmtId="0" fontId="5" fillId="7" borderId="18" xfId="0" applyFont="1" applyFill="1" applyBorder="1"/>
    <xf numFmtId="0" fontId="5" fillId="7" borderId="23" xfId="0" applyFont="1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="70" zoomScaleNormal="70" workbookViewId="0">
      <selection activeCell="C18" sqref="C18"/>
    </sheetView>
  </sheetViews>
  <sheetFormatPr defaultRowHeight="13.5" x14ac:dyDescent="0.25"/>
  <cols>
    <col min="1" max="1" width="12.83203125" customWidth="1"/>
    <col min="2" max="2" width="41.08203125" customWidth="1"/>
    <col min="3" max="4" width="19.58203125" customWidth="1"/>
    <col min="5" max="5" width="27.58203125" customWidth="1"/>
    <col min="8" max="8" width="21.25" customWidth="1"/>
    <col min="9" max="9" width="69.5" customWidth="1"/>
  </cols>
  <sheetData>
    <row r="1" spans="1:9" ht="25.5" customHeight="1" thickBot="1" x14ac:dyDescent="0.5">
      <c r="A1" s="30" t="s">
        <v>19</v>
      </c>
      <c r="B1" s="31"/>
      <c r="C1" s="31"/>
      <c r="D1" s="31"/>
      <c r="E1" s="31"/>
      <c r="F1" s="31"/>
      <c r="G1" s="31"/>
      <c r="H1" s="32"/>
    </row>
    <row r="2" spans="1:9" ht="9.75" customHeight="1" x14ac:dyDescent="0.25">
      <c r="A2" s="42" t="s">
        <v>39</v>
      </c>
      <c r="B2" s="43"/>
      <c r="C2" s="43"/>
      <c r="D2" s="43"/>
      <c r="E2" s="43"/>
      <c r="F2" s="43"/>
      <c r="G2" s="43"/>
      <c r="H2" s="44"/>
    </row>
    <row r="3" spans="1:9" ht="19.5" customHeight="1" x14ac:dyDescent="0.25">
      <c r="A3" s="45"/>
      <c r="B3" s="43"/>
      <c r="C3" s="43"/>
      <c r="D3" s="43"/>
      <c r="E3" s="43"/>
      <c r="F3" s="43"/>
      <c r="G3" s="43"/>
      <c r="H3" s="44"/>
    </row>
    <row r="4" spans="1:9" ht="12" customHeight="1" x14ac:dyDescent="0.25">
      <c r="A4" s="45"/>
      <c r="B4" s="43"/>
      <c r="C4" s="43"/>
      <c r="D4" s="43"/>
      <c r="E4" s="43"/>
      <c r="F4" s="43"/>
      <c r="G4" s="43"/>
      <c r="H4" s="44"/>
    </row>
    <row r="5" spans="1:9" ht="7" hidden="1" customHeight="1" x14ac:dyDescent="0.25">
      <c r="A5" s="46"/>
      <c r="B5" s="47"/>
      <c r="C5" s="47"/>
      <c r="D5" s="47"/>
      <c r="E5" s="47"/>
      <c r="F5" s="47"/>
      <c r="G5" s="47"/>
      <c r="H5" s="48"/>
    </row>
    <row r="6" spans="1:9" ht="19" customHeight="1" x14ac:dyDescent="0.3">
      <c r="A6" s="50" t="s">
        <v>26</v>
      </c>
      <c r="B6" s="51"/>
      <c r="C6" s="51"/>
      <c r="D6" s="51"/>
      <c r="E6" s="51"/>
      <c r="F6" s="51"/>
      <c r="G6" s="51"/>
      <c r="H6" s="52"/>
    </row>
    <row r="7" spans="1:9" ht="19" customHeight="1" x14ac:dyDescent="0.35">
      <c r="A7" s="53" t="s">
        <v>27</v>
      </c>
      <c r="B7" s="54"/>
      <c r="C7" s="54"/>
      <c r="D7" s="54"/>
      <c r="E7" s="54"/>
      <c r="F7" s="54"/>
      <c r="G7" s="54"/>
      <c r="H7" s="55"/>
    </row>
    <row r="8" spans="1:9" ht="19" customHeight="1" x14ac:dyDescent="0.35">
      <c r="A8" s="53" t="s">
        <v>28</v>
      </c>
      <c r="B8" s="54"/>
      <c r="C8" s="54"/>
      <c r="D8" s="54"/>
      <c r="E8" s="54"/>
      <c r="F8" s="54"/>
      <c r="G8" s="54"/>
      <c r="H8" s="55"/>
    </row>
    <row r="9" spans="1:9" ht="19" customHeight="1" x14ac:dyDescent="0.35">
      <c r="A9" s="56" t="s">
        <v>29</v>
      </c>
      <c r="B9" s="57"/>
      <c r="C9" s="57"/>
      <c r="D9" s="57"/>
      <c r="E9" s="57"/>
      <c r="F9" s="57"/>
      <c r="G9" s="57"/>
      <c r="H9" s="58"/>
    </row>
    <row r="10" spans="1:9" ht="10" customHeight="1" x14ac:dyDescent="0.25">
      <c r="A10" s="33" t="s">
        <v>25</v>
      </c>
      <c r="B10" s="34"/>
      <c r="C10" s="34"/>
      <c r="D10" s="34"/>
      <c r="E10" s="34"/>
      <c r="F10" s="34"/>
      <c r="G10" s="34"/>
      <c r="H10" s="35"/>
    </row>
    <row r="11" spans="1:9" ht="28" customHeight="1" x14ac:dyDescent="0.25">
      <c r="A11" s="36"/>
      <c r="B11" s="37"/>
      <c r="C11" s="37"/>
      <c r="D11" s="37"/>
      <c r="E11" s="37"/>
      <c r="F11" s="37"/>
      <c r="G11" s="37"/>
      <c r="H11" s="38"/>
    </row>
    <row r="12" spans="1:9" ht="0.75" hidden="1" customHeight="1" thickBot="1" x14ac:dyDescent="0.4">
      <c r="A12" s="39"/>
      <c r="B12" s="40"/>
      <c r="C12" s="40"/>
      <c r="D12" s="40"/>
      <c r="E12" s="40"/>
      <c r="F12" s="40"/>
      <c r="G12" s="40"/>
      <c r="H12" s="41"/>
      <c r="I12" s="2"/>
    </row>
    <row r="13" spans="1:9" ht="0.75" customHeight="1" x14ac:dyDescent="0.35">
      <c r="A13" s="28"/>
      <c r="B13" s="28"/>
      <c r="C13" s="28"/>
      <c r="D13" s="28"/>
      <c r="E13" s="28"/>
      <c r="F13" s="28"/>
      <c r="G13" s="28"/>
      <c r="H13" s="28"/>
      <c r="I13" s="2"/>
    </row>
    <row r="15" spans="1:9" ht="32" x14ac:dyDescent="0.3">
      <c r="B15" s="3" t="s">
        <v>0</v>
      </c>
      <c r="C15" s="4" t="s">
        <v>1</v>
      </c>
      <c r="D15" s="5" t="s">
        <v>20</v>
      </c>
      <c r="E15" s="6" t="s">
        <v>2</v>
      </c>
      <c r="I15" s="29"/>
    </row>
    <row r="16" spans="1:9" ht="17" x14ac:dyDescent="0.35">
      <c r="B16" s="7" t="s">
        <v>16</v>
      </c>
      <c r="C16" s="8"/>
      <c r="D16" s="18">
        <v>1.22</v>
      </c>
      <c r="E16" s="9">
        <f>C16*1.22</f>
        <v>0</v>
      </c>
      <c r="I16" s="17"/>
    </row>
    <row r="17" spans="2:9" ht="17" x14ac:dyDescent="0.35">
      <c r="B17" s="10" t="s">
        <v>36</v>
      </c>
      <c r="C17" s="11"/>
      <c r="D17" s="19">
        <v>0.03</v>
      </c>
      <c r="E17" s="12">
        <f>C17*0.03</f>
        <v>0</v>
      </c>
      <c r="I17" s="17"/>
    </row>
    <row r="18" spans="2:9" ht="17" x14ac:dyDescent="0.35">
      <c r="B18" s="23" t="s">
        <v>37</v>
      </c>
      <c r="C18" s="11"/>
      <c r="D18" s="19">
        <v>1.8</v>
      </c>
      <c r="E18" s="12">
        <f>C18*1.8</f>
        <v>0</v>
      </c>
      <c r="I18" s="17"/>
    </row>
    <row r="19" spans="2:9" ht="17" x14ac:dyDescent="0.35">
      <c r="B19" s="13" t="s">
        <v>33</v>
      </c>
      <c r="C19" s="11"/>
      <c r="D19" s="19">
        <v>7</v>
      </c>
      <c r="E19" s="12">
        <f>C19*7</f>
        <v>0</v>
      </c>
    </row>
    <row r="20" spans="2:9" ht="17" x14ac:dyDescent="0.35">
      <c r="B20" s="13" t="s">
        <v>3</v>
      </c>
      <c r="C20" s="11"/>
      <c r="D20" s="19">
        <v>0.15</v>
      </c>
      <c r="E20" s="12">
        <f>C20*0.15</f>
        <v>0</v>
      </c>
    </row>
    <row r="21" spans="2:9" ht="17" x14ac:dyDescent="0.35">
      <c r="B21" s="13" t="s">
        <v>4</v>
      </c>
      <c r="C21" s="11"/>
      <c r="D21" s="19">
        <v>0.25</v>
      </c>
      <c r="E21" s="12">
        <f>C21*0.25</f>
        <v>0</v>
      </c>
    </row>
    <row r="22" spans="2:9" ht="17" x14ac:dyDescent="0.35">
      <c r="B22" s="10" t="s">
        <v>21</v>
      </c>
      <c r="C22" s="11"/>
      <c r="D22" s="19">
        <v>2.4</v>
      </c>
      <c r="E22" s="12">
        <f>C22*2.4</f>
        <v>0</v>
      </c>
    </row>
    <row r="23" spans="2:9" ht="17" x14ac:dyDescent="0.35">
      <c r="B23" s="10" t="s">
        <v>22</v>
      </c>
      <c r="C23" s="11"/>
      <c r="D23" s="19">
        <v>0.13</v>
      </c>
      <c r="E23" s="12">
        <f>C23*0.13</f>
        <v>0</v>
      </c>
    </row>
    <row r="24" spans="2:9" ht="17" x14ac:dyDescent="0.35">
      <c r="B24" s="10" t="s">
        <v>23</v>
      </c>
      <c r="C24" s="11"/>
      <c r="D24" s="19">
        <v>0.16</v>
      </c>
      <c r="E24" s="12">
        <f>C24*0.16</f>
        <v>0</v>
      </c>
      <c r="F24" s="1"/>
      <c r="G24" s="1"/>
    </row>
    <row r="25" spans="2:9" ht="17" x14ac:dyDescent="0.35">
      <c r="B25" s="10" t="s">
        <v>24</v>
      </c>
      <c r="C25" s="11"/>
      <c r="D25" s="19">
        <v>0.18</v>
      </c>
      <c r="E25" s="12">
        <f>C25*0.18</f>
        <v>0</v>
      </c>
      <c r="F25" s="1"/>
      <c r="G25" s="1"/>
    </row>
    <row r="26" spans="2:9" ht="17" x14ac:dyDescent="0.35">
      <c r="B26" s="13" t="s">
        <v>5</v>
      </c>
      <c r="C26" s="11"/>
      <c r="D26" s="19">
        <v>1</v>
      </c>
      <c r="E26" s="12">
        <f>C26*1</f>
        <v>0</v>
      </c>
    </row>
    <row r="27" spans="2:9" ht="17" x14ac:dyDescent="0.35">
      <c r="B27" s="13" t="s">
        <v>6</v>
      </c>
      <c r="C27" s="11"/>
      <c r="D27" s="19">
        <v>5</v>
      </c>
      <c r="E27" s="12">
        <f>C27*5</f>
        <v>0</v>
      </c>
    </row>
    <row r="28" spans="2:9" ht="17" x14ac:dyDescent="0.35">
      <c r="B28" s="13" t="s">
        <v>18</v>
      </c>
      <c r="C28" s="11"/>
      <c r="D28" s="19">
        <v>8</v>
      </c>
      <c r="E28" s="12">
        <f>C28*8</f>
        <v>0</v>
      </c>
    </row>
    <row r="29" spans="2:9" ht="17" x14ac:dyDescent="0.35">
      <c r="B29" s="13" t="s">
        <v>7</v>
      </c>
      <c r="C29" s="11"/>
      <c r="D29" s="19">
        <v>11</v>
      </c>
      <c r="E29" s="12">
        <f>C29*11</f>
        <v>0</v>
      </c>
    </row>
    <row r="30" spans="2:9" ht="17" x14ac:dyDescent="0.35">
      <c r="B30" s="13" t="s">
        <v>35</v>
      </c>
      <c r="C30" s="11"/>
      <c r="D30" s="19">
        <v>0.3</v>
      </c>
      <c r="E30" s="12">
        <f>C30*0.3</f>
        <v>0</v>
      </c>
    </row>
    <row r="31" spans="2:9" ht="17" x14ac:dyDescent="0.35">
      <c r="B31" s="13" t="s">
        <v>34</v>
      </c>
      <c r="C31" s="11"/>
      <c r="D31" s="19">
        <v>0.1</v>
      </c>
      <c r="E31" s="12">
        <f>C31*0.1</f>
        <v>0</v>
      </c>
    </row>
    <row r="32" spans="2:9" ht="17" x14ac:dyDescent="0.35">
      <c r="B32" s="13" t="s">
        <v>8</v>
      </c>
      <c r="C32" s="11"/>
      <c r="D32" s="27" t="s">
        <v>30</v>
      </c>
      <c r="E32" s="12">
        <f>C32*VLOOKUP(C32,'Methadone VLookup'!A2:B5,2,TRUE)</f>
        <v>0</v>
      </c>
    </row>
    <row r="33" spans="2:5" ht="17" x14ac:dyDescent="0.35">
      <c r="B33" s="13" t="s">
        <v>9</v>
      </c>
      <c r="C33" s="11"/>
      <c r="D33" s="19">
        <v>1</v>
      </c>
      <c r="E33" s="12">
        <f>C33*1</f>
        <v>0</v>
      </c>
    </row>
    <row r="34" spans="2:5" ht="17" x14ac:dyDescent="0.35">
      <c r="B34" s="13" t="s">
        <v>10</v>
      </c>
      <c r="C34" s="11"/>
      <c r="D34" s="19">
        <v>1.5</v>
      </c>
      <c r="E34" s="12">
        <f>C34*1.5</f>
        <v>0</v>
      </c>
    </row>
    <row r="35" spans="2:5" ht="17" x14ac:dyDescent="0.35">
      <c r="B35" s="13" t="s">
        <v>11</v>
      </c>
      <c r="C35" s="11"/>
      <c r="D35" s="19">
        <v>3</v>
      </c>
      <c r="E35" s="12">
        <f>C35*3</f>
        <v>0</v>
      </c>
    </row>
    <row r="36" spans="2:5" ht="17" x14ac:dyDescent="0.35">
      <c r="B36" s="13" t="s">
        <v>12</v>
      </c>
      <c r="C36" s="11"/>
      <c r="D36" s="19">
        <v>0.37</v>
      </c>
      <c r="E36" s="12">
        <f>C36*0.37</f>
        <v>0</v>
      </c>
    </row>
    <row r="37" spans="2:5" ht="17" x14ac:dyDescent="0.35">
      <c r="B37" s="13" t="s">
        <v>13</v>
      </c>
      <c r="C37" s="11"/>
      <c r="D37" s="19">
        <v>0.23</v>
      </c>
      <c r="E37" s="12">
        <f>C37*0.23</f>
        <v>0</v>
      </c>
    </row>
    <row r="38" spans="2:5" ht="17" x14ac:dyDescent="0.35">
      <c r="B38" s="13" t="s">
        <v>14</v>
      </c>
      <c r="C38" s="11"/>
      <c r="D38" s="19">
        <v>0.4</v>
      </c>
      <c r="E38" s="12">
        <f>C38*0.4</f>
        <v>0</v>
      </c>
    </row>
    <row r="39" spans="2:5" ht="17.5" thickBot="1" x14ac:dyDescent="0.4">
      <c r="B39" s="14" t="s">
        <v>15</v>
      </c>
      <c r="C39" s="15"/>
      <c r="D39" s="22">
        <v>0.2</v>
      </c>
      <c r="E39" s="16">
        <f>C39*0.2</f>
        <v>0</v>
      </c>
    </row>
    <row r="40" spans="2:5" ht="18" thickTop="1" thickBot="1" x14ac:dyDescent="0.4">
      <c r="B40" s="17"/>
      <c r="D40" s="21" t="s">
        <v>17</v>
      </c>
      <c r="E40" s="20">
        <f>SUM(E16:E39)</f>
        <v>0</v>
      </c>
    </row>
    <row r="41" spans="2:5" ht="16" x14ac:dyDescent="0.3">
      <c r="B41" s="24" t="s">
        <v>38</v>
      </c>
      <c r="D41" s="26"/>
      <c r="E41" s="25"/>
    </row>
    <row r="42" spans="2:5" ht="16" x14ac:dyDescent="0.3">
      <c r="B42" s="49" t="s">
        <v>31</v>
      </c>
      <c r="C42" s="49"/>
      <c r="D42" s="49"/>
      <c r="E42" s="49"/>
    </row>
    <row r="43" spans="2:5" ht="14" x14ac:dyDescent="0.3">
      <c r="B43" s="24"/>
    </row>
  </sheetData>
  <sheetProtection algorithmName="SHA-512" hashValue="H0uNhn6yOJq8UzFN1nQalq3yLRUYv2B/4cT4XxlwZ18XWgVEUYLt3R0ejlAh4tUcZvQ7NKXgrZ1RCFJNE89RxA==" saltValue="qrkoJyyumxmTV/M4vv6o9w==" spinCount="100000" sheet="1" selectLockedCells="1"/>
  <mergeCells count="8">
    <mergeCell ref="A1:H1"/>
    <mergeCell ref="A10:H12"/>
    <mergeCell ref="A2:H5"/>
    <mergeCell ref="B42:E42"/>
    <mergeCell ref="A6:H6"/>
    <mergeCell ref="A7:H7"/>
    <mergeCell ref="A8:H8"/>
    <mergeCell ref="A9:H9"/>
  </mergeCells>
  <pageMargins left="0.7" right="0.7" top="0.75" bottom="0.75" header="0.3" footer="0.3"/>
  <pageSetup orientation="portrait" horizontalDpi="204" verticalDpi="1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5" sqref="A1:B5"/>
    </sheetView>
  </sheetViews>
  <sheetFormatPr defaultRowHeight="13.5" x14ac:dyDescent="0.25"/>
  <cols>
    <col min="1" max="1" width="11.33203125" bestFit="1" customWidth="1"/>
  </cols>
  <sheetData>
    <row r="1" spans="1:2" x14ac:dyDescent="0.25">
      <c r="A1" t="s">
        <v>1</v>
      </c>
      <c r="B1" t="s">
        <v>32</v>
      </c>
    </row>
    <row r="2" spans="1:2" x14ac:dyDescent="0.25">
      <c r="A2">
        <v>0</v>
      </c>
      <c r="B2">
        <v>4</v>
      </c>
    </row>
    <row r="3" spans="1:2" x14ac:dyDescent="0.25">
      <c r="A3">
        <v>21</v>
      </c>
      <c r="B3">
        <v>8</v>
      </c>
    </row>
    <row r="4" spans="1:2" x14ac:dyDescent="0.25">
      <c r="A4">
        <v>41</v>
      </c>
      <c r="B4">
        <v>10</v>
      </c>
    </row>
    <row r="5" spans="1:2" x14ac:dyDescent="0.25">
      <c r="A5">
        <v>61</v>
      </c>
      <c r="B5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 Calculator</vt:lpstr>
      <vt:lpstr>Methadone VLookup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Tabile, Marissa A (HCA)</dc:creator>
  <cp:lastModifiedBy>Harris, Charity (HCA)</cp:lastModifiedBy>
  <dcterms:created xsi:type="dcterms:W3CDTF">2019-09-17T20:23:02Z</dcterms:created>
  <dcterms:modified xsi:type="dcterms:W3CDTF">2024-01-23T21:16:59Z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2024-01-11T22:52:52Z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23a42e8f-d7ba-4e4e-9606-37e051d80bc3</vt:lpwstr>
  </property>
  <property fmtid="{D5CDD505-2E9C-101B-9397-08002B2CF9AE}" pid="8" name="MSIP_Label_1520fa42-cf58-4c22-8b93-58cf1d3bd1cb_ContentBits">
    <vt:lpwstr>0</vt:lpwstr>
  </property>
</Properties>
</file>